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fko/Downloads/"/>
    </mc:Choice>
  </mc:AlternateContent>
  <bookViews>
    <workbookView xWindow="80" yWindow="460" windowWidth="28720" windowHeight="17540"/>
  </bookViews>
  <sheets>
    <sheet name="Munka4" sheetId="4" r:id="rId1"/>
  </sheets>
  <definedNames>
    <definedName name="_xlnm._FilterDatabase" localSheetId="0" hidden="1">Munka4!$H$1:$H$109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J9" i="4"/>
  <c r="J19" i="4"/>
  <c r="J22" i="4"/>
  <c r="J26" i="4"/>
  <c r="I64" i="4"/>
  <c r="J64" i="4"/>
  <c r="J70" i="4"/>
  <c r="O17" i="4"/>
  <c r="J4" i="4"/>
  <c r="J5" i="4"/>
  <c r="J6" i="4"/>
  <c r="J7" i="4"/>
  <c r="J8" i="4"/>
  <c r="I10" i="4"/>
  <c r="J10" i="4"/>
  <c r="J11" i="4"/>
  <c r="J12" i="4"/>
  <c r="J13" i="4"/>
  <c r="J14" i="4"/>
  <c r="J15" i="4"/>
  <c r="I16" i="4"/>
  <c r="J16" i="4"/>
  <c r="J17" i="4"/>
  <c r="J18" i="4"/>
  <c r="J20" i="4"/>
  <c r="J21" i="4"/>
  <c r="I23" i="4"/>
  <c r="J23" i="4"/>
  <c r="J24" i="4"/>
  <c r="J25" i="4"/>
  <c r="I27" i="4"/>
  <c r="J27" i="4"/>
  <c r="J28" i="4"/>
  <c r="J29" i="4"/>
  <c r="J30" i="4"/>
  <c r="J31" i="4"/>
  <c r="J32" i="4"/>
  <c r="J33" i="4"/>
  <c r="J34" i="4"/>
  <c r="J35" i="4"/>
  <c r="J36" i="4"/>
  <c r="J37" i="4"/>
  <c r="J38" i="4"/>
  <c r="I39" i="4"/>
  <c r="J39" i="4"/>
  <c r="J40" i="4"/>
  <c r="J41" i="4"/>
  <c r="J42" i="4"/>
  <c r="J43" i="4"/>
  <c r="J44" i="4"/>
  <c r="J45" i="4"/>
  <c r="J46" i="4"/>
  <c r="J47" i="4"/>
  <c r="I48" i="4"/>
  <c r="J48" i="4"/>
  <c r="J49" i="4"/>
  <c r="J50" i="4"/>
  <c r="J51" i="4"/>
  <c r="J52" i="4"/>
  <c r="J53" i="4"/>
  <c r="J54" i="4"/>
  <c r="J55" i="4"/>
  <c r="J56" i="4"/>
  <c r="J57" i="4"/>
  <c r="I58" i="4"/>
  <c r="J58" i="4"/>
  <c r="J59" i="4"/>
  <c r="I60" i="4"/>
  <c r="J60" i="4"/>
  <c r="J61" i="4"/>
  <c r="J62" i="4"/>
  <c r="J63" i="4"/>
  <c r="J65" i="4"/>
  <c r="J66" i="4"/>
  <c r="J67" i="4"/>
  <c r="J68" i="4"/>
  <c r="J69" i="4"/>
  <c r="J71" i="4"/>
  <c r="J3" i="4"/>
  <c r="J72" i="4"/>
  <c r="I72" i="4"/>
  <c r="C16" i="4"/>
  <c r="E16" i="4"/>
  <c r="F16" i="4"/>
  <c r="C20" i="4"/>
  <c r="E20" i="4"/>
  <c r="F20" i="4"/>
  <c r="C23" i="4"/>
  <c r="E23" i="4"/>
  <c r="F23" i="4"/>
  <c r="C27" i="4"/>
  <c r="E27" i="4"/>
  <c r="F27" i="4"/>
  <c r="O21" i="4"/>
  <c r="O20" i="4"/>
  <c r="O15" i="4"/>
  <c r="O13" i="4"/>
  <c r="O12" i="4"/>
  <c r="O10" i="4"/>
  <c r="O8" i="4"/>
  <c r="O6" i="4"/>
  <c r="O24" i="4"/>
  <c r="O9" i="4"/>
  <c r="O5" i="4"/>
  <c r="O4" i="4"/>
  <c r="O3" i="4"/>
  <c r="O2" i="4"/>
  <c r="P3" i="4"/>
  <c r="P4" i="4"/>
  <c r="P5" i="4"/>
  <c r="P6" i="4"/>
  <c r="P7" i="4"/>
  <c r="P8" i="4"/>
  <c r="P9" i="4"/>
  <c r="P10" i="4"/>
  <c r="O11" i="4"/>
  <c r="P11" i="4"/>
  <c r="P12" i="4"/>
  <c r="P13" i="4"/>
  <c r="P14" i="4"/>
  <c r="P15" i="4"/>
  <c r="P16" i="4"/>
  <c r="P17" i="4"/>
  <c r="P18" i="4"/>
  <c r="P20" i="4"/>
  <c r="P21" i="4"/>
  <c r="P23" i="4"/>
  <c r="N24" i="4"/>
  <c r="P24" i="4"/>
  <c r="N25" i="4"/>
  <c r="P25" i="4"/>
  <c r="P2" i="4"/>
  <c r="E66" i="4"/>
  <c r="F66" i="4"/>
  <c r="C10" i="4"/>
  <c r="E10" i="4"/>
  <c r="F10" i="4"/>
  <c r="C3" i="4"/>
  <c r="E3" i="4"/>
  <c r="F3" i="4"/>
  <c r="E59" i="4"/>
  <c r="F59" i="4"/>
  <c r="C48" i="4"/>
  <c r="E48" i="4"/>
  <c r="F48" i="4"/>
  <c r="C50" i="4"/>
  <c r="E50" i="4"/>
  <c r="F50" i="4"/>
  <c r="C52" i="4"/>
  <c r="E52" i="4"/>
  <c r="F52" i="4"/>
  <c r="C55" i="4"/>
  <c r="E55" i="4"/>
  <c r="F55" i="4"/>
  <c r="C31" i="4"/>
  <c r="E31" i="4"/>
  <c r="F31" i="4"/>
  <c r="C34" i="4"/>
  <c r="E34" i="4"/>
  <c r="F34" i="4"/>
  <c r="C36" i="4"/>
  <c r="E36" i="4"/>
  <c r="F36" i="4"/>
  <c r="C38" i="4"/>
  <c r="E38" i="4"/>
  <c r="F38" i="4"/>
  <c r="C40" i="4"/>
  <c r="E40" i="4"/>
  <c r="F40" i="4"/>
  <c r="C43" i="4"/>
  <c r="E43" i="4"/>
  <c r="F43" i="4"/>
  <c r="F72" i="4"/>
  <c r="H72" i="4"/>
  <c r="G72" i="4"/>
  <c r="E72" i="4"/>
  <c r="D72" i="4"/>
  <c r="C72" i="4"/>
</calcChain>
</file>

<file path=xl/sharedStrings.xml><?xml version="1.0" encoding="utf-8"?>
<sst xmlns="http://schemas.openxmlformats.org/spreadsheetml/2006/main" count="199" uniqueCount="66">
  <si>
    <t>Program</t>
  </si>
  <si>
    <t>Donor</t>
  </si>
  <si>
    <t>HUF</t>
  </si>
  <si>
    <t>Freedom of Speech Program</t>
  </si>
  <si>
    <t>Roma Program</t>
  </si>
  <si>
    <t>Disability Rights Program</t>
  </si>
  <si>
    <t>Drug Policy Program</t>
  </si>
  <si>
    <t>Communication</t>
  </si>
  <si>
    <t>Freedom of Assembly Program</t>
  </si>
  <si>
    <t>Legal aid services</t>
  </si>
  <si>
    <t>Management costs</t>
  </si>
  <si>
    <t>INCOME</t>
  </si>
  <si>
    <t>Total planned expenditures (HUF)</t>
  </si>
  <si>
    <t>Contract</t>
  </si>
  <si>
    <t>Self-determination Program</t>
  </si>
  <si>
    <t>Patience Rights Program</t>
  </si>
  <si>
    <t>Freedom of Conscience Program</t>
  </si>
  <si>
    <t>LMBT Program</t>
  </si>
  <si>
    <t>HIV Program</t>
  </si>
  <si>
    <t>Freedom of Education Program</t>
  </si>
  <si>
    <t>Data Protection Program</t>
  </si>
  <si>
    <t>Infromation Freedom Program</t>
  </si>
  <si>
    <t>Participatory Rights Program</t>
  </si>
  <si>
    <t>Finance and Administration</t>
  </si>
  <si>
    <t>Management, Finance and Admin</t>
  </si>
  <si>
    <t>Operational and Travel</t>
  </si>
  <si>
    <t>Fundacion Canna</t>
  </si>
  <si>
    <t>Personnel costs 2017 (HUF)</t>
  </si>
  <si>
    <t>Material costs 2017 (HUF)</t>
  </si>
  <si>
    <t>Total planned expenditures (USD)</t>
  </si>
  <si>
    <t>INCOME for 2017</t>
  </si>
  <si>
    <t>USD/HUF</t>
  </si>
  <si>
    <t>TOTAL:</t>
  </si>
  <si>
    <t>PROJECT</t>
  </si>
  <si>
    <t>Open Society Institute</t>
  </si>
  <si>
    <t>Fundraising and Constituency-building: Seizing the Oppurtunity, OR2015-21414</t>
  </si>
  <si>
    <t>Institutional support 2015-2016, OR2014-17590</t>
  </si>
  <si>
    <t>Disability Rights and Drug Policy Reform, OR2015-25403</t>
  </si>
  <si>
    <t>Magánadomány pernyertesség okán</t>
  </si>
  <si>
    <t>Sigrid Rausing Trust 2017</t>
  </si>
  <si>
    <t>Helsinki partnerség</t>
  </si>
  <si>
    <t>ERRC</t>
  </si>
  <si>
    <t>ABA Roli</t>
  </si>
  <si>
    <t>INCLO</t>
  </si>
  <si>
    <t>Promoting Active Citizenship and Human Rights in Hungary. OR2016-30528</t>
  </si>
  <si>
    <t>MLDI</t>
  </si>
  <si>
    <t>Legal aid and representation to journalists and citizen journalists</t>
  </si>
  <si>
    <t>Planned</t>
  </si>
  <si>
    <t>Helsinki partnership</t>
  </si>
  <si>
    <t>1% donations</t>
  </si>
  <si>
    <t>Donation from Major Private Donor</t>
  </si>
  <si>
    <t>Private Donations</t>
  </si>
  <si>
    <t>Private Donations Due to Succesful Lawsuits</t>
  </si>
  <si>
    <t>Spent</t>
  </si>
  <si>
    <t>Balance</t>
  </si>
  <si>
    <t>1% donations2016</t>
  </si>
  <si>
    <t>Projected Private Donations2017</t>
  </si>
  <si>
    <t>HCLU expert fees</t>
  </si>
  <si>
    <t>Projected 1% donations2017</t>
  </si>
  <si>
    <t xml:space="preserve"> Private Donations Due to Succesful Lawsuits</t>
  </si>
  <si>
    <t>Available/Planned Budget</t>
  </si>
  <si>
    <t>Equality project</t>
  </si>
  <si>
    <t>Private Sphere project</t>
  </si>
  <si>
    <t>Political freedom project</t>
  </si>
  <si>
    <t>USD</t>
  </si>
  <si>
    <t>ECNL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</si>
</sst>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Ft&quot;_-;\-* #,##0.00\ &quot;Ft&quot;_-;_-* &quot;-&quot;??\ &quot;Ft&quot;_-;_-@_-"/>
    <numFmt numFmtId="165" formatCode="#,##0.00\ [$USD]"/>
    <numFmt numFmtId="166" formatCode="#,##0.00\ [$EUR]"/>
    <numFmt numFmtId="167" formatCode="#,##0.00\ [$GBP]"/>
    <numFmt numFmtId="168" formatCode="_-* #,##0\ [$USD]_-;\-* #,##0\ [$USD]_-;_-* &quot;-&quot;??\ [$USD]_-;_-@_-"/>
    <numFmt numFmtId="169" formatCode="_-* #,##0\ [$HUF]_-;\-* #,##0\ [$HUF]_-;_-* &quot;-&quot;??\ [$HUF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>
      <alignment wrapText="1"/>
    </xf>
    <xf numFmtId="165" fontId="0" fillId="0" borderId="0" xfId="0" applyNumberForma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Border="1"/>
    <xf numFmtId="49" fontId="0" fillId="0" borderId="0" xfId="0" applyNumberFormat="1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69" fontId="0" fillId="0" borderId="0" xfId="0" applyNumberFormat="1" applyFill="1"/>
    <xf numFmtId="169" fontId="1" fillId="0" borderId="0" xfId="0" applyNumberFormat="1" applyFont="1" applyFill="1"/>
    <xf numFmtId="16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169" fontId="0" fillId="0" borderId="0" xfId="0" applyNumberFormat="1" applyFill="1" applyBorder="1"/>
    <xf numFmtId="168" fontId="0" fillId="0" borderId="0" xfId="0" applyNumberFormat="1" applyFill="1"/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169" fontId="6" fillId="5" borderId="6" xfId="0" applyNumberFormat="1" applyFont="1" applyFill="1" applyBorder="1" applyAlignment="1">
      <alignment vertical="center"/>
    </xf>
    <xf numFmtId="168" fontId="6" fillId="5" borderId="6" xfId="0" applyNumberFormat="1" applyFont="1" applyFill="1" applyBorder="1" applyAlignment="1">
      <alignment vertical="center"/>
    </xf>
    <xf numFmtId="3" fontId="6" fillId="5" borderId="4" xfId="0" applyNumberFormat="1" applyFont="1" applyFill="1" applyBorder="1" applyAlignment="1">
      <alignment horizontal="left" vertical="top"/>
    </xf>
    <xf numFmtId="169" fontId="6" fillId="5" borderId="4" xfId="0" applyNumberFormat="1" applyFont="1" applyFill="1" applyBorder="1" applyAlignment="1">
      <alignment horizontal="left" vertical="top"/>
    </xf>
    <xf numFmtId="168" fontId="6" fillId="5" borderId="4" xfId="27" applyNumberFormat="1" applyFont="1" applyFill="1" applyBorder="1" applyAlignment="1">
      <alignment horizontal="center" vertical="center"/>
    </xf>
    <xf numFmtId="169" fontId="6" fillId="5" borderId="4" xfId="27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169" fontId="6" fillId="5" borderId="7" xfId="0" applyNumberFormat="1" applyFont="1" applyFill="1" applyBorder="1" applyAlignment="1">
      <alignment vertical="center"/>
    </xf>
    <xf numFmtId="168" fontId="6" fillId="5" borderId="7" xfId="0" applyNumberFormat="1" applyFont="1" applyFill="1" applyBorder="1" applyAlignment="1">
      <alignment vertical="center"/>
    </xf>
    <xf numFmtId="3" fontId="6" fillId="5" borderId="20" xfId="0" applyNumberFormat="1" applyFont="1" applyFill="1" applyBorder="1" applyAlignment="1">
      <alignment horizontal="left" vertical="top"/>
    </xf>
    <xf numFmtId="0" fontId="6" fillId="5" borderId="8" xfId="0" applyFont="1" applyFill="1" applyBorder="1" applyAlignment="1">
      <alignment vertical="center" wrapText="1"/>
    </xf>
    <xf numFmtId="169" fontId="6" fillId="5" borderId="8" xfId="0" applyNumberFormat="1" applyFont="1" applyFill="1" applyBorder="1" applyAlignment="1">
      <alignment vertical="center"/>
    </xf>
    <xf numFmtId="168" fontId="6" fillId="5" borderId="8" xfId="0" applyNumberFormat="1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169" fontId="6" fillId="5" borderId="22" xfId="0" applyNumberFormat="1" applyFont="1" applyFill="1" applyBorder="1" applyAlignment="1">
      <alignment vertical="center"/>
    </xf>
    <xf numFmtId="169" fontId="6" fillId="5" borderId="23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9" fontId="6" fillId="5" borderId="18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 wrapText="1"/>
    </xf>
    <xf numFmtId="169" fontId="6" fillId="6" borderId="6" xfId="0" applyNumberFormat="1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horizontal="left" vertical="top"/>
    </xf>
    <xf numFmtId="169" fontId="6" fillId="6" borderId="4" xfId="0" applyNumberFormat="1" applyFont="1" applyFill="1" applyBorder="1" applyAlignment="1">
      <alignment horizontal="left" vertical="top"/>
    </xf>
    <xf numFmtId="168" fontId="6" fillId="6" borderId="4" xfId="27" applyNumberFormat="1" applyFont="1" applyFill="1" applyBorder="1" applyAlignment="1">
      <alignment horizontal="center" vertical="center"/>
    </xf>
    <xf numFmtId="169" fontId="6" fillId="6" borderId="4" xfId="27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 wrapText="1"/>
    </xf>
    <xf numFmtId="169" fontId="6" fillId="6" borderId="7" xfId="0" applyNumberFormat="1" applyFont="1" applyFill="1" applyBorder="1" applyAlignment="1">
      <alignment vertical="center"/>
    </xf>
    <xf numFmtId="3" fontId="6" fillId="6" borderId="20" xfId="0" applyNumberFormat="1" applyFont="1" applyFill="1" applyBorder="1" applyAlignment="1">
      <alignment horizontal="left" vertical="top"/>
    </xf>
    <xf numFmtId="0" fontId="6" fillId="6" borderId="8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/>
    </xf>
    <xf numFmtId="169" fontId="6" fillId="6" borderId="8" xfId="0" applyNumberFormat="1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 wrapText="1"/>
    </xf>
    <xf numFmtId="169" fontId="6" fillId="7" borderId="6" xfId="0" applyNumberFormat="1" applyFont="1" applyFill="1" applyBorder="1" applyAlignment="1">
      <alignment vertical="center"/>
    </xf>
    <xf numFmtId="168" fontId="6" fillId="7" borderId="6" xfId="0" applyNumberFormat="1" applyFont="1" applyFill="1" applyBorder="1" applyAlignment="1">
      <alignment vertical="center"/>
    </xf>
    <xf numFmtId="3" fontId="6" fillId="7" borderId="4" xfId="0" applyNumberFormat="1" applyFont="1" applyFill="1" applyBorder="1" applyAlignment="1">
      <alignment horizontal="left" vertical="top"/>
    </xf>
    <xf numFmtId="169" fontId="6" fillId="7" borderId="4" xfId="0" applyNumberFormat="1" applyFont="1" applyFill="1" applyBorder="1" applyAlignment="1">
      <alignment horizontal="left" vertical="top"/>
    </xf>
    <xf numFmtId="168" fontId="6" fillId="7" borderId="4" xfId="27" applyNumberFormat="1" applyFont="1" applyFill="1" applyBorder="1" applyAlignment="1">
      <alignment horizontal="center" vertical="center"/>
    </xf>
    <xf numFmtId="169" fontId="6" fillId="7" borderId="24" xfId="27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 wrapText="1"/>
    </xf>
    <xf numFmtId="169" fontId="6" fillId="7" borderId="7" xfId="0" applyNumberFormat="1" applyFont="1" applyFill="1" applyBorder="1" applyAlignment="1">
      <alignment vertical="center"/>
    </xf>
    <xf numFmtId="168" fontId="6" fillId="7" borderId="7" xfId="0" applyNumberFormat="1" applyFont="1" applyFill="1" applyBorder="1" applyAlignment="1">
      <alignment vertical="center"/>
    </xf>
    <xf numFmtId="0" fontId="6" fillId="7" borderId="8" xfId="0" applyFont="1" applyFill="1" applyBorder="1" applyAlignment="1">
      <alignment vertical="center" wrapText="1"/>
    </xf>
    <xf numFmtId="169" fontId="6" fillId="7" borderId="8" xfId="0" applyNumberFormat="1" applyFont="1" applyFill="1" applyBorder="1" applyAlignment="1">
      <alignment vertical="center"/>
    </xf>
    <xf numFmtId="168" fontId="6" fillId="7" borderId="8" xfId="0" applyNumberFormat="1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3" fontId="6" fillId="7" borderId="20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169" fontId="6" fillId="4" borderId="6" xfId="0" applyNumberFormat="1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left" vertical="top"/>
    </xf>
    <xf numFmtId="169" fontId="6" fillId="4" borderId="4" xfId="0" applyNumberFormat="1" applyFont="1" applyFill="1" applyBorder="1" applyAlignment="1">
      <alignment horizontal="left" vertical="top"/>
    </xf>
    <xf numFmtId="168" fontId="6" fillId="4" borderId="4" xfId="27" applyNumberFormat="1" applyFont="1" applyFill="1" applyBorder="1" applyAlignment="1">
      <alignment horizontal="center" vertical="center"/>
    </xf>
    <xf numFmtId="169" fontId="6" fillId="4" borderId="24" xfId="27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 wrapText="1"/>
    </xf>
    <xf numFmtId="169" fontId="6" fillId="4" borderId="8" xfId="0" applyNumberFormat="1" applyFont="1" applyFill="1" applyBorder="1" applyAlignment="1">
      <alignment vertical="center"/>
    </xf>
    <xf numFmtId="168" fontId="6" fillId="4" borderId="8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 wrapText="1"/>
    </xf>
    <xf numFmtId="169" fontId="6" fillId="4" borderId="7" xfId="0" applyNumberFormat="1" applyFont="1" applyFill="1" applyBorder="1" applyAlignment="1">
      <alignment vertical="center"/>
    </xf>
    <xf numFmtId="168" fontId="6" fillId="4" borderId="7" xfId="0" applyNumberFormat="1" applyFont="1" applyFill="1" applyBorder="1" applyAlignment="1">
      <alignment vertical="center"/>
    </xf>
    <xf numFmtId="3" fontId="6" fillId="4" borderId="20" xfId="0" applyNumberFormat="1" applyFont="1" applyFill="1" applyBorder="1" applyAlignment="1">
      <alignment horizontal="left" vertical="top"/>
    </xf>
    <xf numFmtId="0" fontId="6" fillId="8" borderId="6" xfId="0" applyFont="1" applyFill="1" applyBorder="1" applyAlignment="1">
      <alignment vertical="center"/>
    </xf>
    <xf numFmtId="169" fontId="6" fillId="8" borderId="6" xfId="0" applyNumberFormat="1" applyFont="1" applyFill="1" applyBorder="1" applyAlignment="1">
      <alignment vertical="center"/>
    </xf>
    <xf numFmtId="3" fontId="6" fillId="8" borderId="4" xfId="0" applyNumberFormat="1" applyFont="1" applyFill="1" applyBorder="1" applyAlignment="1">
      <alignment horizontal="left" vertical="top"/>
    </xf>
    <xf numFmtId="169" fontId="6" fillId="8" borderId="4" xfId="0" applyNumberFormat="1" applyFont="1" applyFill="1" applyBorder="1" applyAlignment="1">
      <alignment horizontal="left" vertical="top"/>
    </xf>
    <xf numFmtId="168" fontId="6" fillId="8" borderId="4" xfId="27" applyNumberFormat="1" applyFont="1" applyFill="1" applyBorder="1" applyAlignment="1">
      <alignment horizontal="center" vertical="center"/>
    </xf>
    <xf numFmtId="169" fontId="6" fillId="8" borderId="24" xfId="27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vertical="center"/>
    </xf>
    <xf numFmtId="169" fontId="6" fillId="8" borderId="7" xfId="0" applyNumberFormat="1" applyFont="1" applyFill="1" applyBorder="1" applyAlignment="1">
      <alignment vertical="center"/>
    </xf>
    <xf numFmtId="3" fontId="6" fillId="8" borderId="20" xfId="0" applyNumberFormat="1" applyFont="1" applyFill="1" applyBorder="1" applyAlignment="1">
      <alignment horizontal="left" vertical="top"/>
    </xf>
    <xf numFmtId="0" fontId="6" fillId="8" borderId="8" xfId="0" applyFont="1" applyFill="1" applyBorder="1" applyAlignment="1">
      <alignment vertical="center"/>
    </xf>
    <xf numFmtId="169" fontId="6" fillId="8" borderId="8" xfId="0" applyNumberFormat="1" applyFont="1" applyFill="1" applyBorder="1" applyAlignment="1">
      <alignment vertical="center"/>
    </xf>
    <xf numFmtId="169" fontId="6" fillId="8" borderId="23" xfId="0" applyNumberFormat="1" applyFont="1" applyFill="1" applyBorder="1" applyAlignment="1">
      <alignment vertical="center"/>
    </xf>
    <xf numFmtId="168" fontId="6" fillId="8" borderId="7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169" fontId="6" fillId="3" borderId="6" xfId="0" applyNumberFormat="1" applyFont="1" applyFill="1" applyBorder="1" applyAlignment="1">
      <alignment vertical="center"/>
    </xf>
    <xf numFmtId="168" fontId="6" fillId="3" borderId="6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left" vertical="top"/>
    </xf>
    <xf numFmtId="169" fontId="6" fillId="3" borderId="4" xfId="0" applyNumberFormat="1" applyFont="1" applyFill="1" applyBorder="1" applyAlignment="1">
      <alignment horizontal="left" vertical="top"/>
    </xf>
    <xf numFmtId="168" fontId="6" fillId="3" borderId="4" xfId="27" applyNumberFormat="1" applyFont="1" applyFill="1" applyBorder="1" applyAlignment="1">
      <alignment horizontal="center" vertical="center"/>
    </xf>
    <xf numFmtId="169" fontId="6" fillId="3" borderId="4" xfId="27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169" fontId="6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169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169" fontId="6" fillId="0" borderId="3" xfId="27" applyNumberFormat="1" applyFont="1" applyFill="1" applyBorder="1" applyAlignment="1">
      <alignment horizontal="center" vertical="center"/>
    </xf>
  </cellXfs>
  <cellStyles count="28">
    <cellStyle name="Currency" xfId="2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="70" zoomScaleNormal="70" zoomScalePageLayoutView="70" workbookViewId="0">
      <selection activeCell="N1" sqref="N1:N1048576"/>
    </sheetView>
  </sheetViews>
  <sheetFormatPr baseColWidth="10" defaultColWidth="8.83203125" defaultRowHeight="15" x14ac:dyDescent="0.2"/>
  <cols>
    <col min="1" max="1" width="31.5" bestFit="1" customWidth="1"/>
    <col min="2" max="2" width="30.33203125" bestFit="1" customWidth="1"/>
    <col min="3" max="3" width="25.33203125" bestFit="1" customWidth="1"/>
    <col min="4" max="4" width="23.83203125" bestFit="1" customWidth="1"/>
    <col min="5" max="6" width="31.6640625" customWidth="1"/>
    <col min="7" max="7" width="40.6640625" bestFit="1" customWidth="1"/>
    <col min="8" max="8" width="73.83203125" bestFit="1" customWidth="1"/>
    <col min="9" max="9" width="27.5" bestFit="1" customWidth="1"/>
    <col min="10" max="10" width="44.5" style="10" customWidth="1"/>
    <col min="11" max="11" width="15.6640625" bestFit="1" customWidth="1"/>
    <col min="12" max="12" width="15.6640625" customWidth="1"/>
    <col min="13" max="13" width="54.6640625" customWidth="1"/>
    <col min="14" max="14" width="19.5" customWidth="1"/>
    <col min="15" max="15" width="14.5" bestFit="1" customWidth="1"/>
    <col min="16" max="16" width="23.83203125" customWidth="1"/>
  </cols>
  <sheetData>
    <row r="1" spans="1:16" ht="31" thickBot="1" x14ac:dyDescent="0.25">
      <c r="A1" s="22" t="s">
        <v>33</v>
      </c>
      <c r="B1" s="23" t="s">
        <v>0</v>
      </c>
      <c r="C1" s="24" t="s">
        <v>27</v>
      </c>
      <c r="D1" s="25" t="s">
        <v>28</v>
      </c>
      <c r="E1" s="24" t="s">
        <v>12</v>
      </c>
      <c r="F1" s="24" t="s">
        <v>29</v>
      </c>
      <c r="G1" s="26" t="s">
        <v>11</v>
      </c>
      <c r="H1" s="27"/>
      <c r="I1" s="26" t="s">
        <v>30</v>
      </c>
      <c r="J1" s="27"/>
      <c r="K1" s="2" t="s">
        <v>31</v>
      </c>
      <c r="L1" s="2"/>
      <c r="M1" s="1"/>
      <c r="N1" s="1" t="s">
        <v>60</v>
      </c>
      <c r="O1" s="1" t="s">
        <v>53</v>
      </c>
      <c r="P1" s="1" t="s">
        <v>54</v>
      </c>
    </row>
    <row r="2" spans="1:16" ht="31" thickBot="1" x14ac:dyDescent="0.25">
      <c r="A2" s="28"/>
      <c r="B2" s="29"/>
      <c r="C2" s="30"/>
      <c r="D2" s="31" t="s">
        <v>25</v>
      </c>
      <c r="E2" s="30"/>
      <c r="F2" s="30"/>
      <c r="G2" s="32" t="s">
        <v>1</v>
      </c>
      <c r="H2" s="33" t="s">
        <v>13</v>
      </c>
      <c r="I2" s="32" t="s">
        <v>64</v>
      </c>
      <c r="J2" s="34" t="s">
        <v>2</v>
      </c>
      <c r="K2" s="1">
        <v>290</v>
      </c>
      <c r="L2" s="1"/>
      <c r="M2" s="14" t="s">
        <v>35</v>
      </c>
      <c r="N2" s="16">
        <v>14482358</v>
      </c>
      <c r="O2" s="16">
        <f>J3+J59</f>
        <v>14482358</v>
      </c>
      <c r="P2" s="16">
        <f>N2-O2</f>
        <v>0</v>
      </c>
    </row>
    <row r="3" spans="1:16" ht="31" thickBot="1" x14ac:dyDescent="0.25">
      <c r="A3" s="35" t="s">
        <v>24</v>
      </c>
      <c r="B3" s="36" t="s">
        <v>23</v>
      </c>
      <c r="C3" s="37" t="e">
        <f>22296780+#REF!</f>
        <v>#REF!</v>
      </c>
      <c r="D3" s="37">
        <v>12927044</v>
      </c>
      <c r="E3" s="37" t="e">
        <f>C3+D3</f>
        <v>#REF!</v>
      </c>
      <c r="F3" s="38" t="e">
        <f>E3/K$2</f>
        <v>#REF!</v>
      </c>
      <c r="G3" s="39" t="s">
        <v>34</v>
      </c>
      <c r="H3" s="40" t="s">
        <v>35</v>
      </c>
      <c r="I3" s="41">
        <v>23289.275862068964</v>
      </c>
      <c r="J3" s="42">
        <f>I3*K$2</f>
        <v>6753889.9999999991</v>
      </c>
      <c r="K3" s="16"/>
      <c r="L3" s="16"/>
      <c r="M3" s="15" t="s">
        <v>44</v>
      </c>
      <c r="N3" s="16">
        <v>56512500</v>
      </c>
      <c r="O3" s="16">
        <f>J4+J10+J16+J20+J23+J32+J34+J37+J38+J41+J43+J50+J52+J56+J60+J71</f>
        <v>56512499.982758626</v>
      </c>
      <c r="P3" s="16">
        <f t="shared" ref="P3:P25" si="0">N3-O3</f>
        <v>1.7241373658180237E-2</v>
      </c>
    </row>
    <row r="4" spans="1:16" ht="16" thickBot="1" x14ac:dyDescent="0.25">
      <c r="A4" s="43"/>
      <c r="B4" s="44"/>
      <c r="C4" s="45"/>
      <c r="D4" s="45"/>
      <c r="E4" s="45"/>
      <c r="F4" s="46"/>
      <c r="G4" s="39" t="s">
        <v>34</v>
      </c>
      <c r="H4" s="40" t="s">
        <v>44</v>
      </c>
      <c r="I4" s="41">
        <v>56319.531034482759</v>
      </c>
      <c r="J4" s="42">
        <f>I4*K$2</f>
        <v>16332664</v>
      </c>
      <c r="K4" s="3"/>
      <c r="L4" s="3"/>
      <c r="M4" s="15" t="s">
        <v>46</v>
      </c>
      <c r="N4" s="16">
        <v>8950000</v>
      </c>
      <c r="O4" s="16">
        <f>J5+J13+J44+J49+J53+J61+J66</f>
        <v>8950000</v>
      </c>
      <c r="P4" s="16">
        <f t="shared" si="0"/>
        <v>0</v>
      </c>
    </row>
    <row r="5" spans="1:16" ht="16" thickBot="1" x14ac:dyDescent="0.25">
      <c r="A5" s="43"/>
      <c r="B5" s="44"/>
      <c r="C5" s="45"/>
      <c r="D5" s="45"/>
      <c r="E5" s="45"/>
      <c r="F5" s="46"/>
      <c r="G5" s="39" t="s">
        <v>45</v>
      </c>
      <c r="H5" s="40" t="s">
        <v>46</v>
      </c>
      <c r="I5" s="41">
        <v>3728.6827586206896</v>
      </c>
      <c r="J5" s="42">
        <f>I5*K$2</f>
        <v>1081318</v>
      </c>
      <c r="K5" s="3"/>
      <c r="L5" s="3"/>
      <c r="M5" s="15" t="s">
        <v>43</v>
      </c>
      <c r="N5" s="16">
        <v>6875000</v>
      </c>
      <c r="O5" s="16">
        <f>J6</f>
        <v>6875059</v>
      </c>
      <c r="P5" s="16">
        <f t="shared" si="0"/>
        <v>-59</v>
      </c>
    </row>
    <row r="6" spans="1:16" ht="16" thickBot="1" x14ac:dyDescent="0.25">
      <c r="A6" s="43"/>
      <c r="B6" s="44"/>
      <c r="C6" s="45"/>
      <c r="D6" s="45"/>
      <c r="E6" s="45"/>
      <c r="F6" s="46"/>
      <c r="G6" s="39" t="s">
        <v>43</v>
      </c>
      <c r="H6" s="40" t="s">
        <v>47</v>
      </c>
      <c r="I6" s="41">
        <v>23707.1</v>
      </c>
      <c r="J6" s="42">
        <f>I6*K$2</f>
        <v>6875059</v>
      </c>
      <c r="K6" s="3"/>
      <c r="L6" s="17"/>
      <c r="M6" s="14" t="s">
        <v>36</v>
      </c>
      <c r="N6" s="16">
        <v>5801445</v>
      </c>
      <c r="O6" s="16">
        <f>J11</f>
        <v>5801445</v>
      </c>
      <c r="P6" s="16">
        <f t="shared" si="0"/>
        <v>0</v>
      </c>
    </row>
    <row r="7" spans="1:16" ht="16" thickBot="1" x14ac:dyDescent="0.25">
      <c r="A7" s="43"/>
      <c r="B7" s="44"/>
      <c r="C7" s="45"/>
      <c r="D7" s="45"/>
      <c r="E7" s="45"/>
      <c r="F7" s="46"/>
      <c r="G7" s="39" t="s">
        <v>42</v>
      </c>
      <c r="H7" s="40" t="s">
        <v>47</v>
      </c>
      <c r="I7" s="41">
        <v>236.72586206896551</v>
      </c>
      <c r="J7" s="42">
        <f>I7*K$2</f>
        <v>68650.5</v>
      </c>
      <c r="K7" s="3"/>
      <c r="L7" s="3"/>
      <c r="M7" s="14"/>
      <c r="N7" s="16"/>
      <c r="O7" s="16"/>
      <c r="P7" s="16">
        <f t="shared" si="0"/>
        <v>0</v>
      </c>
    </row>
    <row r="8" spans="1:16" ht="16" thickBot="1" x14ac:dyDescent="0.25">
      <c r="A8" s="43"/>
      <c r="B8" s="44"/>
      <c r="C8" s="45"/>
      <c r="D8" s="45"/>
      <c r="E8" s="45"/>
      <c r="F8" s="46"/>
      <c r="G8" s="47" t="s">
        <v>65</v>
      </c>
      <c r="H8" s="40" t="s">
        <v>47</v>
      </c>
      <c r="I8" s="41">
        <v>1864</v>
      </c>
      <c r="J8" s="42">
        <f>I8*K$2</f>
        <v>540560</v>
      </c>
      <c r="K8" s="3"/>
      <c r="L8" s="3"/>
      <c r="M8" s="15" t="s">
        <v>39</v>
      </c>
      <c r="N8" s="16">
        <v>35996120</v>
      </c>
      <c r="O8" s="16">
        <f>J12+J27+J40+J48+J55+J63</f>
        <v>35996120.000000015</v>
      </c>
      <c r="P8" s="16">
        <f t="shared" si="0"/>
        <v>0</v>
      </c>
    </row>
    <row r="9" spans="1:16" ht="16" thickBot="1" x14ac:dyDescent="0.25">
      <c r="A9" s="43"/>
      <c r="B9" s="48"/>
      <c r="C9" s="49"/>
      <c r="D9" s="49"/>
      <c r="E9" s="49"/>
      <c r="F9" s="50"/>
      <c r="G9" s="39" t="s">
        <v>51</v>
      </c>
      <c r="H9" s="40" t="s">
        <v>51</v>
      </c>
      <c r="I9" s="41">
        <f>14180.1482758621+3050</f>
        <v>17230.148275862099</v>
      </c>
      <c r="J9" s="42">
        <f>I9*K$2</f>
        <v>4996743.0000000084</v>
      </c>
      <c r="K9" s="21"/>
      <c r="L9" s="3"/>
      <c r="M9" s="15" t="s">
        <v>42</v>
      </c>
      <c r="N9" s="16">
        <v>3424025</v>
      </c>
      <c r="O9" s="16">
        <f>J7+J14+J45+J54+J67</f>
        <v>3424025</v>
      </c>
      <c r="P9" s="16">
        <f t="shared" si="0"/>
        <v>0</v>
      </c>
    </row>
    <row r="10" spans="1:16" ht="16" thickBot="1" x14ac:dyDescent="0.25">
      <c r="A10" s="51"/>
      <c r="B10" s="36" t="s">
        <v>10</v>
      </c>
      <c r="C10" s="52" t="e">
        <f>17612556+#REF!</f>
        <v>#REF!</v>
      </c>
      <c r="D10" s="37">
        <v>626116</v>
      </c>
      <c r="E10" s="37" t="e">
        <f>C10+D10</f>
        <v>#REF!</v>
      </c>
      <c r="F10" s="38" t="e">
        <f>E10/K$2</f>
        <v>#REF!</v>
      </c>
      <c r="G10" s="47" t="s">
        <v>34</v>
      </c>
      <c r="H10" s="40" t="s">
        <v>44</v>
      </c>
      <c r="I10" s="41">
        <f>16404.1103448276-4609</f>
        <v>11795.110344827601</v>
      </c>
      <c r="J10" s="42">
        <f>I10*K$2</f>
        <v>3420582.0000000042</v>
      </c>
      <c r="K10" s="16"/>
      <c r="L10" s="16"/>
      <c r="M10" s="15" t="s">
        <v>48</v>
      </c>
      <c r="N10" s="16">
        <v>5060000</v>
      </c>
      <c r="O10" s="16">
        <f>J28+J62</f>
        <v>5060000</v>
      </c>
      <c r="P10" s="16">
        <f t="shared" si="0"/>
        <v>0</v>
      </c>
    </row>
    <row r="11" spans="1:16" ht="16" thickBot="1" x14ac:dyDescent="0.25">
      <c r="A11" s="51"/>
      <c r="B11" s="44"/>
      <c r="C11" s="53"/>
      <c r="D11" s="45"/>
      <c r="E11" s="45"/>
      <c r="F11" s="46"/>
      <c r="G11" s="47" t="s">
        <v>34</v>
      </c>
      <c r="H11" s="40" t="s">
        <v>36</v>
      </c>
      <c r="I11" s="41">
        <v>20004.982758620688</v>
      </c>
      <c r="J11" s="42">
        <f>I11*K$2</f>
        <v>5801445</v>
      </c>
      <c r="K11" s="3"/>
      <c r="L11" s="3"/>
      <c r="M11" s="15" t="s">
        <v>37</v>
      </c>
      <c r="N11" s="16">
        <v>2346549</v>
      </c>
      <c r="O11" s="16">
        <f>J17+J31</f>
        <v>2346548.9999999991</v>
      </c>
      <c r="P11" s="16">
        <f t="shared" si="0"/>
        <v>0</v>
      </c>
    </row>
    <row r="12" spans="1:16" ht="16" thickBot="1" x14ac:dyDescent="0.25">
      <c r="A12" s="51"/>
      <c r="B12" s="44"/>
      <c r="C12" s="53"/>
      <c r="D12" s="45"/>
      <c r="E12" s="45"/>
      <c r="F12" s="46"/>
      <c r="G12" s="47" t="s">
        <v>39</v>
      </c>
      <c r="H12" s="40" t="s">
        <v>39</v>
      </c>
      <c r="I12" s="41">
        <v>17799.368965517242</v>
      </c>
      <c r="J12" s="42">
        <f>I12*K$2</f>
        <v>5161817</v>
      </c>
      <c r="K12" s="3"/>
      <c r="L12" s="3"/>
      <c r="M12" s="15" t="s">
        <v>52</v>
      </c>
      <c r="N12" s="16">
        <v>10568000</v>
      </c>
      <c r="O12" s="16">
        <f>J24+J35+J39+J42+J46+J51+J57</f>
        <v>9094673.25</v>
      </c>
      <c r="P12" s="16">
        <f t="shared" si="0"/>
        <v>1473326.75</v>
      </c>
    </row>
    <row r="13" spans="1:16" ht="16" thickBot="1" x14ac:dyDescent="0.25">
      <c r="A13" s="54"/>
      <c r="B13" s="44"/>
      <c r="C13" s="53"/>
      <c r="D13" s="45"/>
      <c r="E13" s="45"/>
      <c r="F13" s="46"/>
      <c r="G13" s="47" t="s">
        <v>45</v>
      </c>
      <c r="H13" s="40" t="s">
        <v>46</v>
      </c>
      <c r="I13" s="41">
        <v>4766.813793103448</v>
      </c>
      <c r="J13" s="42">
        <f>I13*K$2</f>
        <v>1382376</v>
      </c>
      <c r="K13" s="3"/>
      <c r="L13" s="3"/>
      <c r="M13" s="15" t="s">
        <v>50</v>
      </c>
      <c r="N13" s="16">
        <v>12669221</v>
      </c>
      <c r="O13" s="16">
        <f>J18+J21+J25+J30+J68</f>
        <v>10458129</v>
      </c>
      <c r="P13" s="16">
        <f t="shared" si="0"/>
        <v>2211092</v>
      </c>
    </row>
    <row r="14" spans="1:16" ht="16" thickBot="1" x14ac:dyDescent="0.25">
      <c r="A14" s="54"/>
      <c r="B14" s="44"/>
      <c r="C14" s="53"/>
      <c r="D14" s="45"/>
      <c r="E14" s="45"/>
      <c r="F14" s="46"/>
      <c r="G14" s="47" t="s">
        <v>42</v>
      </c>
      <c r="H14" s="40" t="s">
        <v>47</v>
      </c>
      <c r="I14" s="41">
        <v>3916.6965517241379</v>
      </c>
      <c r="J14" s="42">
        <f>I14*K$2</f>
        <v>1135842</v>
      </c>
      <c r="K14" s="3"/>
      <c r="L14" s="3"/>
      <c r="M14" s="15"/>
      <c r="N14" s="16"/>
      <c r="O14" s="16"/>
      <c r="P14" s="16">
        <f t="shared" si="0"/>
        <v>0</v>
      </c>
    </row>
    <row r="15" spans="1:16" ht="16" thickBot="1" x14ac:dyDescent="0.25">
      <c r="A15" s="51"/>
      <c r="B15" s="48"/>
      <c r="C15" s="55"/>
      <c r="D15" s="49"/>
      <c r="E15" s="49"/>
      <c r="F15" s="50"/>
      <c r="G15" s="47" t="s">
        <v>65</v>
      </c>
      <c r="H15" s="40" t="s">
        <v>47</v>
      </c>
      <c r="I15" s="41">
        <v>5450</v>
      </c>
      <c r="J15" s="42">
        <f>I15*K$2</f>
        <v>1580500</v>
      </c>
      <c r="K15" s="21"/>
      <c r="L15" s="3"/>
      <c r="M15" s="15" t="s">
        <v>55</v>
      </c>
      <c r="N15" s="16">
        <v>6726728</v>
      </c>
      <c r="O15" s="16">
        <f>J69</f>
        <v>6726728.0000000009</v>
      </c>
      <c r="P15" s="16">
        <f t="shared" si="0"/>
        <v>0</v>
      </c>
    </row>
    <row r="16" spans="1:16" ht="16" thickBot="1" x14ac:dyDescent="0.25">
      <c r="A16" s="56" t="s">
        <v>61</v>
      </c>
      <c r="B16" s="57" t="s">
        <v>5</v>
      </c>
      <c r="C16" s="58" t="e">
        <f>5672532+#REF!/4</f>
        <v>#REF!</v>
      </c>
      <c r="D16" s="58">
        <v>1510000</v>
      </c>
      <c r="E16" s="58" t="e">
        <f>C16+D16</f>
        <v>#REF!</v>
      </c>
      <c r="F16" s="58" t="e">
        <f>E16/K$2</f>
        <v>#REF!</v>
      </c>
      <c r="G16" s="59" t="s">
        <v>34</v>
      </c>
      <c r="H16" s="60" t="s">
        <v>44</v>
      </c>
      <c r="I16" s="61">
        <f>18595.6655172414+4609</f>
        <v>23204.665517241399</v>
      </c>
      <c r="J16" s="62">
        <f>I16*K$2</f>
        <v>6729353.0000000056</v>
      </c>
      <c r="K16" s="16"/>
      <c r="L16" s="16"/>
      <c r="M16" s="15" t="s">
        <v>58</v>
      </c>
      <c r="N16" s="16">
        <v>9000000</v>
      </c>
      <c r="O16" s="16"/>
      <c r="P16" s="16">
        <f t="shared" si="0"/>
        <v>9000000</v>
      </c>
    </row>
    <row r="17" spans="1:16" ht="16" thickBot="1" x14ac:dyDescent="0.25">
      <c r="A17" s="63"/>
      <c r="B17" s="64"/>
      <c r="C17" s="65"/>
      <c r="D17" s="65"/>
      <c r="E17" s="65"/>
      <c r="F17" s="65"/>
      <c r="G17" s="59" t="s">
        <v>34</v>
      </c>
      <c r="H17" s="60" t="s">
        <v>37</v>
      </c>
      <c r="I17" s="61">
        <v>1204.3758620689655</v>
      </c>
      <c r="J17" s="62">
        <f>I17*K$2</f>
        <v>349269</v>
      </c>
      <c r="K17" s="3"/>
      <c r="L17" s="3"/>
      <c r="M17" s="15" t="s">
        <v>51</v>
      </c>
      <c r="N17" s="16">
        <v>16316499</v>
      </c>
      <c r="O17" s="16">
        <f>J9+J19+J22+J26+J64+J70</f>
        <v>13971055.1</v>
      </c>
      <c r="P17" s="16">
        <f t="shared" si="0"/>
        <v>2345443.9000000004</v>
      </c>
    </row>
    <row r="18" spans="1:16" ht="16" thickBot="1" x14ac:dyDescent="0.25">
      <c r="A18" s="63"/>
      <c r="B18" s="64"/>
      <c r="C18" s="65"/>
      <c r="D18" s="65"/>
      <c r="E18" s="65"/>
      <c r="F18" s="65"/>
      <c r="G18" s="66" t="s">
        <v>50</v>
      </c>
      <c r="H18" s="60" t="s">
        <v>50</v>
      </c>
      <c r="I18" s="61">
        <v>4967.3103448275861</v>
      </c>
      <c r="J18" s="62">
        <f>I18*K$2</f>
        <v>1440520</v>
      </c>
      <c r="K18" s="3"/>
      <c r="L18" s="3"/>
      <c r="M18" s="15" t="s">
        <v>56</v>
      </c>
      <c r="N18" s="16">
        <v>36000000</v>
      </c>
      <c r="O18" s="16"/>
      <c r="P18" s="16">
        <f t="shared" si="0"/>
        <v>36000000</v>
      </c>
    </row>
    <row r="19" spans="1:16" ht="16" thickBot="1" x14ac:dyDescent="0.25">
      <c r="A19" s="63"/>
      <c r="B19" s="67"/>
      <c r="C19" s="65"/>
      <c r="D19" s="65"/>
      <c r="E19" s="65"/>
      <c r="F19" s="65"/>
      <c r="G19" s="59" t="s">
        <v>51</v>
      </c>
      <c r="H19" s="60" t="s">
        <v>51</v>
      </c>
      <c r="I19" s="61">
        <v>1700.33</v>
      </c>
      <c r="J19" s="62">
        <f>I19*K$2</f>
        <v>493095.69999999995</v>
      </c>
      <c r="K19" s="3"/>
      <c r="L19" s="3"/>
      <c r="M19" s="15"/>
      <c r="N19" s="16"/>
      <c r="O19" s="16"/>
      <c r="P19" s="16"/>
    </row>
    <row r="20" spans="1:16" ht="16" thickBot="1" x14ac:dyDescent="0.25">
      <c r="A20" s="63"/>
      <c r="B20" s="57" t="s">
        <v>17</v>
      </c>
      <c r="C20" s="58" t="e">
        <f>2621649+#REF!/4</f>
        <v>#REF!</v>
      </c>
      <c r="D20" s="58">
        <v>240000</v>
      </c>
      <c r="E20" s="58" t="e">
        <f>C20+D20</f>
        <v>#REF!</v>
      </c>
      <c r="F20" s="58" t="e">
        <f>E20/K$2</f>
        <v>#REF!</v>
      </c>
      <c r="G20" s="59" t="s">
        <v>34</v>
      </c>
      <c r="H20" s="60" t="s">
        <v>44</v>
      </c>
      <c r="I20" s="61">
        <v>5617.6474137931036</v>
      </c>
      <c r="J20" s="62">
        <f>I20*K$2</f>
        <v>1629117.75</v>
      </c>
      <c r="K20" s="16"/>
      <c r="L20" s="17"/>
      <c r="M20" s="15" t="s">
        <v>41</v>
      </c>
      <c r="N20" s="16">
        <v>1016400</v>
      </c>
      <c r="O20" s="16">
        <f>J29</f>
        <v>1016400</v>
      </c>
      <c r="P20" s="16">
        <f t="shared" si="0"/>
        <v>0</v>
      </c>
    </row>
    <row r="21" spans="1:16" ht="16" thickBot="1" x14ac:dyDescent="0.25">
      <c r="A21" s="63"/>
      <c r="B21" s="64"/>
      <c r="C21" s="65"/>
      <c r="D21" s="65"/>
      <c r="E21" s="65"/>
      <c r="F21" s="65"/>
      <c r="G21" s="66" t="s">
        <v>50</v>
      </c>
      <c r="H21" s="60" t="s">
        <v>50</v>
      </c>
      <c r="I21" s="61">
        <v>4250.1068965517243</v>
      </c>
      <c r="J21" s="62">
        <f>I21*K$2</f>
        <v>1232531</v>
      </c>
      <c r="K21" s="3"/>
      <c r="L21" s="3"/>
      <c r="M21" s="15" t="s">
        <v>26</v>
      </c>
      <c r="N21" s="16">
        <v>462000</v>
      </c>
      <c r="O21" s="16">
        <f>J33</f>
        <v>462000</v>
      </c>
      <c r="P21" s="16">
        <f t="shared" si="0"/>
        <v>0</v>
      </c>
    </row>
    <row r="22" spans="1:16" ht="16" thickBot="1" x14ac:dyDescent="0.25">
      <c r="A22" s="63"/>
      <c r="B22" s="67"/>
      <c r="C22" s="65"/>
      <c r="D22" s="65"/>
      <c r="E22" s="65"/>
      <c r="F22" s="65"/>
      <c r="G22" s="59" t="s">
        <v>51</v>
      </c>
      <c r="H22" s="60" t="s">
        <v>51</v>
      </c>
      <c r="I22" s="61">
        <v>1700.33</v>
      </c>
      <c r="J22" s="62">
        <f>I22*K$2</f>
        <v>493095.69999999995</v>
      </c>
      <c r="K22" s="3"/>
      <c r="L22" s="3"/>
      <c r="M22" s="15"/>
      <c r="N22" s="16"/>
      <c r="O22" s="16"/>
      <c r="P22" s="16"/>
    </row>
    <row r="23" spans="1:16" ht="16" thickBot="1" x14ac:dyDescent="0.25">
      <c r="A23" s="63"/>
      <c r="B23" s="57" t="s">
        <v>18</v>
      </c>
      <c r="C23" s="58" t="e">
        <f>2621649+#REF!/4</f>
        <v>#REF!</v>
      </c>
      <c r="D23" s="58">
        <v>240000</v>
      </c>
      <c r="E23" s="58" t="e">
        <f>C23+D23</f>
        <v>#REF!</v>
      </c>
      <c r="F23" s="58" t="e">
        <f>E23/K$2</f>
        <v>#REF!</v>
      </c>
      <c r="G23" s="59" t="s">
        <v>34</v>
      </c>
      <c r="H23" s="60" t="s">
        <v>44</v>
      </c>
      <c r="I23" s="61">
        <f>5617.6474137931+1000</f>
        <v>6617.6474137931</v>
      </c>
      <c r="J23" s="62">
        <f>I23*K$2</f>
        <v>1919117.7499999991</v>
      </c>
      <c r="K23" s="16"/>
      <c r="L23" s="16"/>
      <c r="M23" s="15" t="s">
        <v>57</v>
      </c>
      <c r="N23" s="16">
        <v>750000</v>
      </c>
      <c r="O23" s="16"/>
      <c r="P23" s="16">
        <f t="shared" si="0"/>
        <v>750000</v>
      </c>
    </row>
    <row r="24" spans="1:16" ht="16" thickBot="1" x14ac:dyDescent="0.25">
      <c r="A24" s="63"/>
      <c r="B24" s="64"/>
      <c r="C24" s="65"/>
      <c r="D24" s="65"/>
      <c r="E24" s="65"/>
      <c r="F24" s="65"/>
      <c r="G24" s="66" t="s">
        <v>52</v>
      </c>
      <c r="H24" s="60" t="s">
        <v>52</v>
      </c>
      <c r="I24" s="61">
        <v>3788.4689655172415</v>
      </c>
      <c r="J24" s="62">
        <f>I24*K$2</f>
        <v>1098656</v>
      </c>
      <c r="K24" s="3"/>
      <c r="L24" s="3"/>
      <c r="M24" s="15" t="s">
        <v>65</v>
      </c>
      <c r="N24" s="16">
        <f>20500*K2</f>
        <v>5945000</v>
      </c>
      <c r="O24" s="16">
        <f>J8+J15+J47+J58+J65</f>
        <v>5945000</v>
      </c>
      <c r="P24" s="16">
        <f t="shared" si="0"/>
        <v>0</v>
      </c>
    </row>
    <row r="25" spans="1:16" ht="16" thickBot="1" x14ac:dyDescent="0.25">
      <c r="A25" s="63"/>
      <c r="B25" s="64"/>
      <c r="C25" s="65"/>
      <c r="D25" s="65"/>
      <c r="E25" s="65"/>
      <c r="F25" s="65"/>
      <c r="G25" s="66" t="s">
        <v>50</v>
      </c>
      <c r="H25" s="60" t="s">
        <v>50</v>
      </c>
      <c r="I25" s="61">
        <v>461.63793103448273</v>
      </c>
      <c r="J25" s="62">
        <f>I25*K$2</f>
        <v>133875</v>
      </c>
      <c r="K25" s="3"/>
      <c r="L25" s="3"/>
      <c r="M25" s="11"/>
      <c r="N25" s="16">
        <f>SUM(N2:N24)</f>
        <v>238901845</v>
      </c>
      <c r="O25" s="16"/>
      <c r="P25" s="16">
        <f t="shared" si="0"/>
        <v>238901845</v>
      </c>
    </row>
    <row r="26" spans="1:16" ht="16" thickBot="1" x14ac:dyDescent="0.25">
      <c r="A26" s="63"/>
      <c r="B26" s="67"/>
      <c r="C26" s="65"/>
      <c r="D26" s="65"/>
      <c r="E26" s="65"/>
      <c r="F26" s="65"/>
      <c r="G26" s="59" t="s">
        <v>51</v>
      </c>
      <c r="H26" s="60" t="s">
        <v>51</v>
      </c>
      <c r="I26" s="61">
        <v>1700.33</v>
      </c>
      <c r="J26" s="62">
        <f>I26*K$2</f>
        <v>493095.69999999995</v>
      </c>
      <c r="K26" s="3"/>
      <c r="L26" s="3"/>
      <c r="M26" s="11"/>
      <c r="N26" s="16"/>
      <c r="O26" s="16"/>
      <c r="P26" s="16"/>
    </row>
    <row r="27" spans="1:16" ht="16" thickBot="1" x14ac:dyDescent="0.25">
      <c r="A27" s="68"/>
      <c r="B27" s="57" t="s">
        <v>4</v>
      </c>
      <c r="C27" s="58" t="e">
        <f>15950532+#REF!/4</f>
        <v>#REF!</v>
      </c>
      <c r="D27" s="58">
        <v>6980000</v>
      </c>
      <c r="E27" s="58" t="e">
        <f>C27+D27</f>
        <v>#REF!</v>
      </c>
      <c r="F27" s="58" t="e">
        <f>E27/K$2</f>
        <v>#REF!</v>
      </c>
      <c r="G27" s="59" t="s">
        <v>39</v>
      </c>
      <c r="H27" s="60" t="s">
        <v>39</v>
      </c>
      <c r="I27" s="61">
        <f>56481.0482758621+2499</f>
        <v>58980.0482758621</v>
      </c>
      <c r="J27" s="62">
        <f>I27*K$2</f>
        <v>17104214.000000007</v>
      </c>
      <c r="K27" s="16"/>
      <c r="L27" s="16"/>
      <c r="P27" s="16"/>
    </row>
    <row r="28" spans="1:16" ht="16" thickBot="1" x14ac:dyDescent="0.25">
      <c r="A28" s="68"/>
      <c r="B28" s="64"/>
      <c r="C28" s="65"/>
      <c r="D28" s="65"/>
      <c r="E28" s="65"/>
      <c r="F28" s="65"/>
      <c r="G28" s="59" t="s">
        <v>40</v>
      </c>
      <c r="H28" s="60" t="s">
        <v>48</v>
      </c>
      <c r="I28" s="61">
        <v>10494.568965517241</v>
      </c>
      <c r="J28" s="62">
        <f>I28*K$2</f>
        <v>3043425</v>
      </c>
      <c r="K28" s="3"/>
      <c r="L28" s="3"/>
      <c r="M28" s="11"/>
      <c r="N28" s="11"/>
      <c r="O28" s="3"/>
      <c r="P28" s="3"/>
    </row>
    <row r="29" spans="1:16" ht="16" thickBot="1" x14ac:dyDescent="0.25">
      <c r="A29" s="68"/>
      <c r="B29" s="64"/>
      <c r="C29" s="65"/>
      <c r="D29" s="65"/>
      <c r="E29" s="65"/>
      <c r="F29" s="65"/>
      <c r="G29" s="59" t="s">
        <v>41</v>
      </c>
      <c r="H29" s="60" t="s">
        <v>41</v>
      </c>
      <c r="I29" s="61">
        <v>3504.8275862068967</v>
      </c>
      <c r="J29" s="62">
        <f>I29*K$2</f>
        <v>1016400</v>
      </c>
      <c r="K29" s="3"/>
      <c r="L29" s="3"/>
      <c r="M29" s="11"/>
      <c r="N29" s="11"/>
      <c r="O29" s="16"/>
      <c r="P29" s="16"/>
    </row>
    <row r="30" spans="1:16" ht="16" thickBot="1" x14ac:dyDescent="0.25">
      <c r="A30" s="68"/>
      <c r="B30" s="67"/>
      <c r="C30" s="69"/>
      <c r="D30" s="69"/>
      <c r="E30" s="69"/>
      <c r="F30" s="69"/>
      <c r="G30" s="59" t="s">
        <v>50</v>
      </c>
      <c r="H30" s="59" t="s">
        <v>50</v>
      </c>
      <c r="I30" s="61">
        <v>8590.3551724137924</v>
      </c>
      <c r="J30" s="62">
        <f>I30*K$2</f>
        <v>2491203</v>
      </c>
      <c r="K30" s="21"/>
      <c r="L30" s="3"/>
      <c r="M30" s="11"/>
      <c r="N30" s="11"/>
      <c r="O30" s="3"/>
      <c r="P30" s="3"/>
    </row>
    <row r="31" spans="1:16" ht="16" thickBot="1" x14ac:dyDescent="0.25">
      <c r="A31" s="70" t="s">
        <v>62</v>
      </c>
      <c r="B31" s="71" t="s">
        <v>6</v>
      </c>
      <c r="C31" s="72" t="e">
        <f>4560372+#REF!/6</f>
        <v>#REF!</v>
      </c>
      <c r="D31" s="72">
        <v>860000</v>
      </c>
      <c r="E31" s="72" t="e">
        <f>C31+D31</f>
        <v>#REF!</v>
      </c>
      <c r="F31" s="73" t="e">
        <f>E31/K$2</f>
        <v>#REF!</v>
      </c>
      <c r="G31" s="74" t="s">
        <v>34</v>
      </c>
      <c r="H31" s="75" t="s">
        <v>37</v>
      </c>
      <c r="I31" s="76">
        <v>6887.1724137930996</v>
      </c>
      <c r="J31" s="77">
        <f>I31*K$2</f>
        <v>1997279.9999999988</v>
      </c>
      <c r="K31" s="16"/>
      <c r="L31" s="16"/>
      <c r="M31" s="11"/>
      <c r="N31" s="11"/>
      <c r="O31" s="3"/>
      <c r="P31" s="3"/>
    </row>
    <row r="32" spans="1:16" ht="16" thickBot="1" x14ac:dyDescent="0.25">
      <c r="A32" s="78"/>
      <c r="B32" s="79"/>
      <c r="C32" s="80"/>
      <c r="D32" s="80"/>
      <c r="E32" s="80"/>
      <c r="F32" s="81"/>
      <c r="G32" s="74" t="s">
        <v>34</v>
      </c>
      <c r="H32" s="75" t="s">
        <v>44</v>
      </c>
      <c r="I32" s="76">
        <v>10210.662068965517</v>
      </c>
      <c r="J32" s="77">
        <f>I32*K$2</f>
        <v>2961092</v>
      </c>
      <c r="K32" s="3"/>
      <c r="L32" s="3"/>
      <c r="M32" s="11"/>
      <c r="N32" s="11"/>
      <c r="O32" s="16"/>
      <c r="P32" s="16"/>
    </row>
    <row r="33" spans="1:16" ht="16" thickBot="1" x14ac:dyDescent="0.25">
      <c r="A33" s="78"/>
      <c r="B33" s="82"/>
      <c r="C33" s="83"/>
      <c r="D33" s="83"/>
      <c r="E33" s="83"/>
      <c r="F33" s="84"/>
      <c r="G33" s="74" t="s">
        <v>26</v>
      </c>
      <c r="H33" s="75" t="s">
        <v>26</v>
      </c>
      <c r="I33" s="76">
        <v>1593.1034482758621</v>
      </c>
      <c r="J33" s="77">
        <f>I33*K$2</f>
        <v>462000</v>
      </c>
      <c r="K33" s="3"/>
      <c r="L33" s="3"/>
      <c r="M33" s="11"/>
      <c r="N33" s="11"/>
      <c r="O33" s="3"/>
      <c r="P33" s="3"/>
    </row>
    <row r="34" spans="1:16" ht="16" thickBot="1" x14ac:dyDescent="0.25">
      <c r="A34" s="78"/>
      <c r="B34" s="71" t="s">
        <v>15</v>
      </c>
      <c r="C34" s="72" t="e">
        <f>2621649+#REF!/6</f>
        <v>#REF!</v>
      </c>
      <c r="D34" s="72">
        <v>240000</v>
      </c>
      <c r="E34" s="72" t="e">
        <f>C34+D34</f>
        <v>#REF!</v>
      </c>
      <c r="F34" s="73" t="e">
        <f>E34/K$2</f>
        <v>#REF!</v>
      </c>
      <c r="G34" s="74" t="s">
        <v>34</v>
      </c>
      <c r="H34" s="75" t="s">
        <v>44</v>
      </c>
      <c r="I34" s="76">
        <v>5617.6474137931036</v>
      </c>
      <c r="J34" s="77">
        <f>I34*K$2</f>
        <v>1629117.75</v>
      </c>
      <c r="K34" s="16"/>
      <c r="L34" s="16"/>
      <c r="M34" s="11"/>
      <c r="N34" s="11"/>
      <c r="O34" s="3"/>
      <c r="P34" s="3"/>
    </row>
    <row r="35" spans="1:16" ht="16" thickBot="1" x14ac:dyDescent="0.25">
      <c r="A35" s="78"/>
      <c r="B35" s="82"/>
      <c r="C35" s="83"/>
      <c r="D35" s="83"/>
      <c r="E35" s="83"/>
      <c r="F35" s="84"/>
      <c r="G35" s="74" t="s">
        <v>52</v>
      </c>
      <c r="H35" s="75" t="s">
        <v>59</v>
      </c>
      <c r="I35" s="76">
        <v>4250.1068965517243</v>
      </c>
      <c r="J35" s="77">
        <f>I35*K$2</f>
        <v>1232531</v>
      </c>
      <c r="K35" s="3"/>
      <c r="L35" s="3"/>
      <c r="M35" s="11"/>
      <c r="N35" s="11"/>
      <c r="O35" s="3"/>
      <c r="P35" s="3"/>
    </row>
    <row r="36" spans="1:16" ht="15.75" customHeight="1" thickBot="1" x14ac:dyDescent="0.25">
      <c r="A36" s="78"/>
      <c r="B36" s="71" t="s">
        <v>16</v>
      </c>
      <c r="C36" s="72" t="e">
        <f>2302146+#REF!/6</f>
        <v>#REF!</v>
      </c>
      <c r="D36" s="72">
        <v>320000</v>
      </c>
      <c r="E36" s="72" t="e">
        <f>C36+D36</f>
        <v>#REF!</v>
      </c>
      <c r="F36" s="73" t="e">
        <f>E36/K$2</f>
        <v>#REF!</v>
      </c>
      <c r="G36" s="74" t="s">
        <v>38</v>
      </c>
      <c r="H36" s="75" t="s">
        <v>38</v>
      </c>
      <c r="I36" s="76">
        <v>5080.437068965517</v>
      </c>
      <c r="J36" s="77">
        <f>I36*K$2</f>
        <v>1473326.75</v>
      </c>
      <c r="K36" s="17"/>
      <c r="L36" s="16"/>
      <c r="M36" s="11"/>
      <c r="N36" s="11"/>
      <c r="O36" s="3"/>
      <c r="P36" s="3"/>
    </row>
    <row r="37" spans="1:16" ht="16" thickBot="1" x14ac:dyDescent="0.25">
      <c r="A37" s="78"/>
      <c r="B37" s="82"/>
      <c r="C37" s="83"/>
      <c r="D37" s="83"/>
      <c r="E37" s="83"/>
      <c r="F37" s="84"/>
      <c r="G37" s="74" t="s">
        <v>34</v>
      </c>
      <c r="H37" s="75" t="s">
        <v>44</v>
      </c>
      <c r="I37" s="76">
        <v>3961.4465517241379</v>
      </c>
      <c r="J37" s="77">
        <f>I37*K$2</f>
        <v>1148819.5</v>
      </c>
      <c r="K37" s="16"/>
      <c r="L37" s="16"/>
      <c r="M37" s="11"/>
      <c r="N37" s="11"/>
      <c r="O37" s="16"/>
      <c r="P37" s="16"/>
    </row>
    <row r="38" spans="1:16" ht="16" thickBot="1" x14ac:dyDescent="0.25">
      <c r="A38" s="78"/>
      <c r="B38" s="71" t="s">
        <v>14</v>
      </c>
      <c r="C38" s="72" t="e">
        <f>2621649+#REF!/6</f>
        <v>#REF!</v>
      </c>
      <c r="D38" s="72">
        <v>240000</v>
      </c>
      <c r="E38" s="72" t="e">
        <f>C38+D38</f>
        <v>#REF!</v>
      </c>
      <c r="F38" s="73" t="e">
        <f>E38/K$2</f>
        <v>#REF!</v>
      </c>
      <c r="G38" s="74" t="s">
        <v>34</v>
      </c>
      <c r="H38" s="75" t="s">
        <v>44</v>
      </c>
      <c r="I38" s="76">
        <v>5617.6474137931036</v>
      </c>
      <c r="J38" s="77">
        <f>I38*K$2</f>
        <v>1629117.75</v>
      </c>
      <c r="K38" s="16"/>
      <c r="L38" s="16"/>
      <c r="M38" s="11"/>
      <c r="N38" s="11"/>
      <c r="O38" s="3"/>
      <c r="P38" s="3"/>
    </row>
    <row r="39" spans="1:16" ht="16" thickBot="1" x14ac:dyDescent="0.25">
      <c r="A39" s="78"/>
      <c r="B39" s="82"/>
      <c r="C39" s="83"/>
      <c r="D39" s="83"/>
      <c r="E39" s="83"/>
      <c r="F39" s="84"/>
      <c r="G39" s="74" t="s">
        <v>52</v>
      </c>
      <c r="H39" s="75" t="s">
        <v>52</v>
      </c>
      <c r="I39" s="76">
        <f>4250.10689655172</f>
        <v>4250.1068965517197</v>
      </c>
      <c r="J39" s="77">
        <f>I39*K$2</f>
        <v>1232530.9999999988</v>
      </c>
      <c r="K39" s="16"/>
      <c r="L39" s="16"/>
      <c r="M39" s="11"/>
      <c r="N39" s="11"/>
      <c r="O39" s="3"/>
      <c r="P39" s="3"/>
    </row>
    <row r="40" spans="1:16" ht="16" thickBot="1" x14ac:dyDescent="0.25">
      <c r="A40" s="78"/>
      <c r="B40" s="71" t="s">
        <v>19</v>
      </c>
      <c r="C40" s="72" t="e">
        <f>3034812+#REF!/6</f>
        <v>#REF!</v>
      </c>
      <c r="D40" s="72">
        <v>1264000</v>
      </c>
      <c r="E40" s="72" t="e">
        <f>C40+D40</f>
        <v>#REF!</v>
      </c>
      <c r="F40" s="73" t="e">
        <f>E40/K$2</f>
        <v>#REF!</v>
      </c>
      <c r="G40" s="74" t="s">
        <v>39</v>
      </c>
      <c r="H40" s="75" t="s">
        <v>39</v>
      </c>
      <c r="I40" s="76">
        <v>5996.8862068965518</v>
      </c>
      <c r="J40" s="77">
        <f>I40*K$2</f>
        <v>1739097</v>
      </c>
      <c r="K40" s="16"/>
      <c r="L40" s="16"/>
      <c r="M40" s="18"/>
      <c r="N40" s="11"/>
      <c r="O40" s="11"/>
      <c r="P40" s="11"/>
    </row>
    <row r="41" spans="1:16" ht="16" thickBot="1" x14ac:dyDescent="0.25">
      <c r="A41" s="78"/>
      <c r="B41" s="79"/>
      <c r="C41" s="80"/>
      <c r="D41" s="80"/>
      <c r="E41" s="80"/>
      <c r="F41" s="81"/>
      <c r="G41" s="74" t="s">
        <v>34</v>
      </c>
      <c r="H41" s="75" t="s">
        <v>44</v>
      </c>
      <c r="I41" s="76">
        <v>2143.3913198573127</v>
      </c>
      <c r="J41" s="77">
        <f>I41*K$2</f>
        <v>621583.48275862064</v>
      </c>
      <c r="K41" s="3"/>
      <c r="L41" s="3"/>
      <c r="M41" s="11"/>
      <c r="N41" s="11"/>
      <c r="O41" s="3"/>
      <c r="P41" s="3"/>
    </row>
    <row r="42" spans="1:16" ht="16" thickBot="1" x14ac:dyDescent="0.25">
      <c r="A42" s="78"/>
      <c r="B42" s="79"/>
      <c r="C42" s="80"/>
      <c r="D42" s="80"/>
      <c r="E42" s="80"/>
      <c r="F42" s="81"/>
      <c r="G42" s="74" t="s">
        <v>52</v>
      </c>
      <c r="H42" s="75" t="s">
        <v>52</v>
      </c>
      <c r="I42" s="76">
        <v>6683.2137931034486</v>
      </c>
      <c r="J42" s="77">
        <f>I42*K$2</f>
        <v>1938132</v>
      </c>
      <c r="K42" s="3"/>
      <c r="L42" s="11"/>
      <c r="N42" s="11"/>
      <c r="O42" s="3"/>
      <c r="P42" s="3"/>
    </row>
    <row r="43" spans="1:16" ht="16" thickBot="1" x14ac:dyDescent="0.25">
      <c r="A43" s="85"/>
      <c r="B43" s="71" t="s">
        <v>20</v>
      </c>
      <c r="C43" s="72" t="e">
        <f>2236266+#REF!/6</f>
        <v>#REF!</v>
      </c>
      <c r="D43" s="72">
        <v>1000000</v>
      </c>
      <c r="E43" s="72" t="e">
        <f>C43+D43</f>
        <v>#REF!</v>
      </c>
      <c r="F43" s="72" t="e">
        <f>E43/K$2</f>
        <v>#REF!</v>
      </c>
      <c r="G43" s="74" t="s">
        <v>34</v>
      </c>
      <c r="H43" s="75" t="s">
        <v>44</v>
      </c>
      <c r="I43" s="76">
        <v>3905.5827586206897</v>
      </c>
      <c r="J43" s="77">
        <f>I43*K$2</f>
        <v>1132619</v>
      </c>
      <c r="K43" s="16"/>
      <c r="L43" s="16"/>
      <c r="M43" s="11"/>
      <c r="N43" s="11"/>
      <c r="O43" s="3"/>
      <c r="P43" s="3"/>
    </row>
    <row r="44" spans="1:16" ht="16" thickBot="1" x14ac:dyDescent="0.25">
      <c r="A44" s="85"/>
      <c r="B44" s="79"/>
      <c r="C44" s="80"/>
      <c r="D44" s="80"/>
      <c r="E44" s="80"/>
      <c r="F44" s="80"/>
      <c r="G44" s="74" t="s">
        <v>45</v>
      </c>
      <c r="H44" s="75" t="s">
        <v>46</v>
      </c>
      <c r="I44" s="76">
        <v>1128.0396551724139</v>
      </c>
      <c r="J44" s="77">
        <f>I44*K$2</f>
        <v>327131.5</v>
      </c>
      <c r="K44" s="3"/>
      <c r="L44" s="3"/>
      <c r="M44" s="11"/>
      <c r="N44" s="11"/>
      <c r="O44" s="11"/>
      <c r="P44" s="11"/>
    </row>
    <row r="45" spans="1:16" ht="16" thickBot="1" x14ac:dyDescent="0.25">
      <c r="A45" s="85"/>
      <c r="B45" s="79"/>
      <c r="C45" s="80"/>
      <c r="D45" s="80"/>
      <c r="E45" s="80"/>
      <c r="F45" s="80"/>
      <c r="G45" s="74" t="s">
        <v>42</v>
      </c>
      <c r="H45" s="75" t="s">
        <v>47</v>
      </c>
      <c r="I45" s="76">
        <v>1751.7827586206897</v>
      </c>
      <c r="J45" s="77">
        <f>I45*K$2</f>
        <v>508017</v>
      </c>
      <c r="K45" s="3"/>
      <c r="L45" s="3"/>
      <c r="M45" s="11"/>
      <c r="N45" s="11"/>
      <c r="O45" s="3"/>
      <c r="P45" s="3"/>
    </row>
    <row r="46" spans="1:16" ht="16" thickBot="1" x14ac:dyDescent="0.25">
      <c r="A46" s="85"/>
      <c r="B46" s="79"/>
      <c r="C46" s="80"/>
      <c r="D46" s="80"/>
      <c r="E46" s="80"/>
      <c r="F46" s="80"/>
      <c r="G46" s="86" t="s">
        <v>52</v>
      </c>
      <c r="H46" s="75" t="s">
        <v>52</v>
      </c>
      <c r="I46" s="76">
        <v>4374.1344827586208</v>
      </c>
      <c r="J46" s="77">
        <f>I46*K$2</f>
        <v>1268499</v>
      </c>
      <c r="K46" s="3"/>
      <c r="L46" s="3"/>
      <c r="M46" s="11"/>
      <c r="N46" s="11"/>
      <c r="O46" s="3"/>
      <c r="P46" s="3"/>
    </row>
    <row r="47" spans="1:16" ht="16" thickBot="1" x14ac:dyDescent="0.25">
      <c r="A47" s="85"/>
      <c r="B47" s="82"/>
      <c r="C47" s="83"/>
      <c r="D47" s="83"/>
      <c r="E47" s="83"/>
      <c r="F47" s="83"/>
      <c r="G47" s="86" t="s">
        <v>65</v>
      </c>
      <c r="H47" s="75" t="s">
        <v>47</v>
      </c>
      <c r="I47" s="76">
        <v>3748</v>
      </c>
      <c r="J47" s="77">
        <f>I47*K$2</f>
        <v>1086920</v>
      </c>
      <c r="K47" s="21"/>
      <c r="L47" s="3"/>
      <c r="M47" s="11"/>
      <c r="N47" s="11"/>
      <c r="O47" s="3"/>
      <c r="P47" s="3"/>
    </row>
    <row r="48" spans="1:16" ht="16" thickBot="1" x14ac:dyDescent="0.25">
      <c r="A48" s="87" t="s">
        <v>63</v>
      </c>
      <c r="B48" s="88" t="s">
        <v>3</v>
      </c>
      <c r="C48" s="89" t="e">
        <f>8017332+#REF!/4</f>
        <v>#REF!</v>
      </c>
      <c r="D48" s="89">
        <v>860000</v>
      </c>
      <c r="E48" s="89" t="e">
        <f>C48+D48</f>
        <v>#REF!</v>
      </c>
      <c r="F48" s="90" t="e">
        <f>E48/K$2</f>
        <v>#REF!</v>
      </c>
      <c r="G48" s="91" t="s">
        <v>39</v>
      </c>
      <c r="H48" s="92" t="s">
        <v>39</v>
      </c>
      <c r="I48" s="93">
        <f>21565.6310344828-2499</f>
        <v>19066.631034482802</v>
      </c>
      <c r="J48" s="94">
        <f>I48*K$2</f>
        <v>5529323.0000000121</v>
      </c>
      <c r="K48" s="16"/>
      <c r="L48" s="16"/>
      <c r="M48" s="11"/>
      <c r="N48" s="11"/>
      <c r="O48" s="3"/>
      <c r="P48" s="3"/>
    </row>
    <row r="49" spans="1:16" ht="16" thickBot="1" x14ac:dyDescent="0.25">
      <c r="A49" s="95"/>
      <c r="B49" s="96"/>
      <c r="C49" s="97"/>
      <c r="D49" s="97"/>
      <c r="E49" s="97"/>
      <c r="F49" s="98"/>
      <c r="G49" s="91" t="s">
        <v>45</v>
      </c>
      <c r="H49" s="92" t="s">
        <v>46</v>
      </c>
      <c r="I49" s="93">
        <v>9045.8586206896543</v>
      </c>
      <c r="J49" s="94">
        <f>I49*K$2</f>
        <v>2623298.9999999995</v>
      </c>
      <c r="K49" s="3"/>
      <c r="L49" s="3"/>
      <c r="M49" s="11"/>
      <c r="N49" s="11"/>
      <c r="O49" s="3"/>
      <c r="P49" s="3"/>
    </row>
    <row r="50" spans="1:16" ht="16" thickBot="1" x14ac:dyDescent="0.25">
      <c r="A50" s="95"/>
      <c r="B50" s="88" t="s">
        <v>8</v>
      </c>
      <c r="C50" s="89" t="e">
        <f>2302146+#REF!/4</f>
        <v>#REF!</v>
      </c>
      <c r="D50" s="89">
        <v>340000</v>
      </c>
      <c r="E50" s="89" t="e">
        <f>C50+D50</f>
        <v>#REF!</v>
      </c>
      <c r="F50" s="90" t="e">
        <f>E50/K$2</f>
        <v>#REF!</v>
      </c>
      <c r="G50" s="91" t="s">
        <v>34</v>
      </c>
      <c r="H50" s="92" t="s">
        <v>44</v>
      </c>
      <c r="I50" s="93">
        <v>4635.6810344827591</v>
      </c>
      <c r="J50" s="94">
        <f>I50*K$2</f>
        <v>1344347.5000000002</v>
      </c>
      <c r="K50" s="16"/>
      <c r="L50" s="16"/>
      <c r="M50" s="11"/>
      <c r="N50" s="11"/>
      <c r="O50" s="3"/>
      <c r="P50" s="3"/>
    </row>
    <row r="51" spans="1:16" ht="16" thickBot="1" x14ac:dyDescent="0.25">
      <c r="A51" s="95"/>
      <c r="B51" s="99"/>
      <c r="C51" s="100"/>
      <c r="D51" s="100"/>
      <c r="E51" s="100"/>
      <c r="F51" s="101"/>
      <c r="G51" s="91" t="s">
        <v>52</v>
      </c>
      <c r="H51" s="92" t="s">
        <v>52</v>
      </c>
      <c r="I51" s="93">
        <v>4475.1681034482763</v>
      </c>
      <c r="J51" s="94">
        <f>I51*K$2</f>
        <v>1297798.7500000002</v>
      </c>
      <c r="K51" s="3"/>
      <c r="L51" s="3"/>
      <c r="M51" s="11"/>
      <c r="N51" s="11"/>
      <c r="O51" s="11"/>
      <c r="P51" s="11"/>
    </row>
    <row r="52" spans="1:16" ht="16" thickBot="1" x14ac:dyDescent="0.25">
      <c r="A52" s="95"/>
      <c r="B52" s="88" t="s">
        <v>21</v>
      </c>
      <c r="C52" s="89" t="e">
        <f>2236266+#REF!/4</f>
        <v>#REF!</v>
      </c>
      <c r="D52" s="89">
        <v>660000</v>
      </c>
      <c r="E52" s="89" t="e">
        <f>C52+D52</f>
        <v>#REF!</v>
      </c>
      <c r="F52" s="90" t="e">
        <f>E52/K$2</f>
        <v>#REF!</v>
      </c>
      <c r="G52" s="91" t="s">
        <v>34</v>
      </c>
      <c r="H52" s="92" t="s">
        <v>44</v>
      </c>
      <c r="I52" s="93">
        <v>3905.5827586206897</v>
      </c>
      <c r="J52" s="94">
        <f>I52*K$2</f>
        <v>1132619</v>
      </c>
      <c r="K52" s="16"/>
      <c r="L52" s="16"/>
      <c r="M52" s="18"/>
      <c r="N52" s="11"/>
      <c r="O52" s="3"/>
      <c r="P52" s="3"/>
    </row>
    <row r="53" spans="1:16" ht="16" thickBot="1" x14ac:dyDescent="0.25">
      <c r="A53" s="95"/>
      <c r="B53" s="99"/>
      <c r="C53" s="100"/>
      <c r="D53" s="100"/>
      <c r="E53" s="100"/>
      <c r="F53" s="101"/>
      <c r="G53" s="91" t="s">
        <v>45</v>
      </c>
      <c r="H53" s="92" t="s">
        <v>46</v>
      </c>
      <c r="I53" s="93">
        <v>1128.0396551724139</v>
      </c>
      <c r="J53" s="94">
        <f>I53*K$2</f>
        <v>327131.5</v>
      </c>
      <c r="K53" s="3"/>
      <c r="L53" s="3"/>
      <c r="M53" s="11"/>
      <c r="N53" s="11"/>
      <c r="O53" s="3"/>
      <c r="P53" s="3"/>
    </row>
    <row r="54" spans="1:16" ht="16" thickBot="1" x14ac:dyDescent="0.25">
      <c r="A54" s="95"/>
      <c r="B54" s="99"/>
      <c r="C54" s="100"/>
      <c r="D54" s="100"/>
      <c r="E54" s="100"/>
      <c r="F54" s="101"/>
      <c r="G54" s="91" t="s">
        <v>42</v>
      </c>
      <c r="H54" s="92" t="s">
        <v>47</v>
      </c>
      <c r="I54" s="93">
        <v>4953.501724137931</v>
      </c>
      <c r="J54" s="94">
        <f>I54*K$2</f>
        <v>1436515.5</v>
      </c>
      <c r="K54" s="3"/>
      <c r="L54" s="3"/>
      <c r="M54" s="11"/>
      <c r="N54" s="11"/>
      <c r="O54" s="3"/>
      <c r="P54" s="3"/>
    </row>
    <row r="55" spans="1:16" ht="16" thickBot="1" x14ac:dyDescent="0.25">
      <c r="A55" s="95"/>
      <c r="B55" s="88" t="s">
        <v>22</v>
      </c>
      <c r="C55" s="89" t="e">
        <f>3034812+#REF!/4</f>
        <v>#REF!</v>
      </c>
      <c r="D55" s="89">
        <v>1966000</v>
      </c>
      <c r="E55" s="89" t="e">
        <f>C55+D55</f>
        <v>#REF!</v>
      </c>
      <c r="F55" s="90" t="e">
        <f>E55/K$2</f>
        <v>#REF!</v>
      </c>
      <c r="G55" s="91" t="s">
        <v>39</v>
      </c>
      <c r="H55" s="92" t="s">
        <v>39</v>
      </c>
      <c r="I55" s="93">
        <v>10212.651724137932</v>
      </c>
      <c r="J55" s="94">
        <f>I55*K$2</f>
        <v>2961669</v>
      </c>
      <c r="K55" s="16"/>
      <c r="L55" s="16"/>
      <c r="M55" s="11"/>
      <c r="N55" s="11"/>
      <c r="O55" s="3"/>
      <c r="P55" s="3"/>
    </row>
    <row r="56" spans="1:16" ht="16" thickBot="1" x14ac:dyDescent="0.25">
      <c r="A56" s="95"/>
      <c r="B56" s="99"/>
      <c r="C56" s="100"/>
      <c r="D56" s="100"/>
      <c r="E56" s="100"/>
      <c r="F56" s="101"/>
      <c r="G56" s="91" t="s">
        <v>34</v>
      </c>
      <c r="H56" s="92" t="s">
        <v>44</v>
      </c>
      <c r="I56" s="93">
        <v>3491.7844827586205</v>
      </c>
      <c r="J56" s="94">
        <f>I56*K$2</f>
        <v>1012617.4999999999</v>
      </c>
      <c r="K56" s="3"/>
      <c r="L56" s="3"/>
      <c r="M56" s="11"/>
      <c r="N56" s="11"/>
      <c r="O56" s="3"/>
      <c r="P56" s="3"/>
    </row>
    <row r="57" spans="1:16" ht="16" thickBot="1" x14ac:dyDescent="0.25">
      <c r="A57" s="95"/>
      <c r="B57" s="99"/>
      <c r="C57" s="100"/>
      <c r="D57" s="100"/>
      <c r="E57" s="100"/>
      <c r="F57" s="101"/>
      <c r="G57" s="91" t="s">
        <v>52</v>
      </c>
      <c r="H57" s="92" t="s">
        <v>52</v>
      </c>
      <c r="I57" s="93">
        <v>3539.7431034482761</v>
      </c>
      <c r="J57" s="94">
        <f>I57*K$2</f>
        <v>1026525.5000000001</v>
      </c>
      <c r="K57" s="3"/>
      <c r="L57" s="3"/>
      <c r="M57" s="11"/>
      <c r="N57" s="11"/>
      <c r="O57" s="3"/>
      <c r="P57" s="3"/>
    </row>
    <row r="58" spans="1:16" ht="16" thickBot="1" x14ac:dyDescent="0.25">
      <c r="A58" s="95"/>
      <c r="B58" s="99"/>
      <c r="C58" s="100"/>
      <c r="D58" s="100"/>
      <c r="E58" s="100"/>
      <c r="F58" s="101"/>
      <c r="G58" s="102" t="s">
        <v>65</v>
      </c>
      <c r="H58" s="92" t="s">
        <v>47</v>
      </c>
      <c r="I58" s="93">
        <f>2739+2499</f>
        <v>5238</v>
      </c>
      <c r="J58" s="94">
        <f>I58*K$2</f>
        <v>1519020</v>
      </c>
      <c r="K58" s="21"/>
      <c r="L58" s="3"/>
      <c r="M58" s="11"/>
      <c r="N58" s="11"/>
      <c r="O58" s="3"/>
      <c r="P58" s="3"/>
    </row>
    <row r="59" spans="1:16" ht="16" thickBot="1" x14ac:dyDescent="0.25">
      <c r="A59" s="103" t="s">
        <v>7</v>
      </c>
      <c r="B59" s="103" t="s">
        <v>7</v>
      </c>
      <c r="C59" s="104">
        <v>21167940</v>
      </c>
      <c r="D59" s="104">
        <v>6647000</v>
      </c>
      <c r="E59" s="104">
        <f>C59+D59</f>
        <v>27814940</v>
      </c>
      <c r="F59" s="104">
        <f>E59/K2</f>
        <v>95913.586206896551</v>
      </c>
      <c r="G59" s="105" t="s">
        <v>34</v>
      </c>
      <c r="H59" s="106" t="s">
        <v>35</v>
      </c>
      <c r="I59" s="107">
        <v>26649.889655172414</v>
      </c>
      <c r="J59" s="108">
        <f>I59*K$2</f>
        <v>7728468</v>
      </c>
      <c r="K59" s="16"/>
      <c r="L59" s="16"/>
      <c r="M59" s="18"/>
      <c r="N59" s="11"/>
      <c r="O59" s="3"/>
      <c r="P59" s="3"/>
    </row>
    <row r="60" spans="1:16" ht="16" thickBot="1" x14ac:dyDescent="0.25">
      <c r="A60" s="109"/>
      <c r="B60" s="109"/>
      <c r="C60" s="110"/>
      <c r="D60" s="110"/>
      <c r="E60" s="110"/>
      <c r="F60" s="110"/>
      <c r="G60" s="105" t="s">
        <v>34</v>
      </c>
      <c r="H60" s="106" t="s">
        <v>44</v>
      </c>
      <c r="I60" s="107">
        <f>35727.6620689655-1000</f>
        <v>34727.662068965503</v>
      </c>
      <c r="J60" s="108">
        <f>I60*K$2</f>
        <v>10071021.999999996</v>
      </c>
      <c r="K60" s="11"/>
      <c r="L60" s="11"/>
      <c r="M60" s="11"/>
      <c r="N60" s="11"/>
      <c r="O60" s="11"/>
      <c r="P60" s="11"/>
    </row>
    <row r="61" spans="1:16" ht="16" thickBot="1" x14ac:dyDescent="0.25">
      <c r="A61" s="109"/>
      <c r="B61" s="109"/>
      <c r="C61" s="110"/>
      <c r="D61" s="110"/>
      <c r="E61" s="110"/>
      <c r="F61" s="110"/>
      <c r="G61" s="105" t="s">
        <v>45</v>
      </c>
      <c r="H61" s="106" t="s">
        <v>46</v>
      </c>
      <c r="I61" s="107">
        <v>1478.9103448275862</v>
      </c>
      <c r="J61" s="108">
        <f>I61*K$2</f>
        <v>428884</v>
      </c>
      <c r="K61" s="11"/>
      <c r="L61" s="11"/>
      <c r="M61" s="11"/>
      <c r="N61" s="11"/>
      <c r="O61" s="11"/>
      <c r="P61" s="11"/>
    </row>
    <row r="62" spans="1:16" ht="16" thickBot="1" x14ac:dyDescent="0.25">
      <c r="A62" s="109"/>
      <c r="B62" s="109"/>
      <c r="C62" s="110"/>
      <c r="D62" s="110"/>
      <c r="E62" s="110"/>
      <c r="F62" s="110"/>
      <c r="G62" s="105" t="s">
        <v>40</v>
      </c>
      <c r="H62" s="106" t="s">
        <v>48</v>
      </c>
      <c r="I62" s="107">
        <v>6953.7068965517237</v>
      </c>
      <c r="J62" s="108">
        <f>I62*K$2</f>
        <v>2016574.9999999998</v>
      </c>
      <c r="K62" s="11"/>
      <c r="L62" s="11"/>
      <c r="M62" s="11"/>
      <c r="N62" s="11"/>
      <c r="O62" s="11"/>
      <c r="P62" s="11"/>
    </row>
    <row r="63" spans="1:16" ht="16" thickBot="1" x14ac:dyDescent="0.25">
      <c r="A63" s="109"/>
      <c r="B63" s="109"/>
      <c r="C63" s="110"/>
      <c r="D63" s="110"/>
      <c r="E63" s="110"/>
      <c r="F63" s="110"/>
      <c r="G63" s="105" t="s">
        <v>39</v>
      </c>
      <c r="H63" s="106" t="s">
        <v>39</v>
      </c>
      <c r="I63" s="107">
        <v>12068.965517241379</v>
      </c>
      <c r="J63" s="108">
        <f>I63*K$2</f>
        <v>3500000</v>
      </c>
      <c r="K63" s="11"/>
      <c r="L63" s="11"/>
      <c r="M63" s="11"/>
      <c r="N63" s="11"/>
      <c r="O63" s="11"/>
      <c r="P63" s="11"/>
    </row>
    <row r="64" spans="1:16" ht="16" thickBot="1" x14ac:dyDescent="0.25">
      <c r="A64" s="109"/>
      <c r="B64" s="109"/>
      <c r="C64" s="110"/>
      <c r="D64" s="110"/>
      <c r="E64" s="110"/>
      <c r="F64" s="110"/>
      <c r="G64" s="111" t="s">
        <v>51</v>
      </c>
      <c r="H64" s="106" t="s">
        <v>51</v>
      </c>
      <c r="I64" s="107">
        <f>13034.4517241379-3200</f>
        <v>9834.4517241378999</v>
      </c>
      <c r="J64" s="108">
        <f>I64*K$2</f>
        <v>2851990.9999999912</v>
      </c>
      <c r="K64" s="11"/>
      <c r="L64" s="11"/>
      <c r="M64" s="11"/>
      <c r="N64" s="11"/>
      <c r="O64" s="11"/>
      <c r="P64" s="11"/>
    </row>
    <row r="65" spans="1:16" ht="16" thickBot="1" x14ac:dyDescent="0.25">
      <c r="A65" s="112"/>
      <c r="B65" s="112"/>
      <c r="C65" s="113"/>
      <c r="D65" s="114"/>
      <c r="E65" s="110"/>
      <c r="F65" s="115"/>
      <c r="G65" s="111" t="s">
        <v>65</v>
      </c>
      <c r="H65" s="106" t="s">
        <v>47</v>
      </c>
      <c r="I65" s="107">
        <v>4200</v>
      </c>
      <c r="J65" s="108">
        <f>I65*K$2</f>
        <v>1218000</v>
      </c>
      <c r="K65" s="21"/>
      <c r="L65" s="11"/>
      <c r="M65" s="11"/>
      <c r="N65" s="11"/>
      <c r="O65" s="11"/>
      <c r="P65" s="11"/>
    </row>
    <row r="66" spans="1:16" ht="16" thickBot="1" x14ac:dyDescent="0.25">
      <c r="A66" s="116" t="s">
        <v>9</v>
      </c>
      <c r="B66" s="117" t="s">
        <v>9</v>
      </c>
      <c r="C66" s="118">
        <v>23383332</v>
      </c>
      <c r="D66" s="118">
        <v>0</v>
      </c>
      <c r="E66" s="118">
        <f>C66+D66</f>
        <v>23383332</v>
      </c>
      <c r="F66" s="119">
        <f>E66/K2</f>
        <v>80632.179310344829</v>
      </c>
      <c r="G66" s="120" t="s">
        <v>45</v>
      </c>
      <c r="H66" s="121" t="s">
        <v>46</v>
      </c>
      <c r="I66" s="122">
        <v>9585.7241379310344</v>
      </c>
      <c r="J66" s="123">
        <f>I66*K$2</f>
        <v>2779860</v>
      </c>
      <c r="K66" s="16"/>
      <c r="L66" s="16"/>
      <c r="M66" s="11"/>
      <c r="N66" s="11"/>
      <c r="O66" s="11"/>
      <c r="P66" s="11"/>
    </row>
    <row r="67" spans="1:16" ht="16" thickBot="1" x14ac:dyDescent="0.25">
      <c r="A67" s="124"/>
      <c r="B67" s="125"/>
      <c r="C67" s="126"/>
      <c r="D67" s="126"/>
      <c r="E67" s="126"/>
      <c r="F67" s="127"/>
      <c r="G67" s="120" t="s">
        <v>42</v>
      </c>
      <c r="H67" s="121" t="s">
        <v>47</v>
      </c>
      <c r="I67" s="122">
        <v>948.27586206896547</v>
      </c>
      <c r="J67" s="123">
        <f>I67*K$2</f>
        <v>275000</v>
      </c>
      <c r="K67" s="3"/>
      <c r="L67" s="3"/>
      <c r="M67" s="11"/>
      <c r="N67" s="11"/>
      <c r="O67" s="3"/>
      <c r="P67" s="3"/>
    </row>
    <row r="68" spans="1:16" ht="16" thickBot="1" x14ac:dyDescent="0.25">
      <c r="A68" s="124"/>
      <c r="B68" s="125"/>
      <c r="C68" s="126"/>
      <c r="D68" s="126"/>
      <c r="E68" s="126"/>
      <c r="F68" s="127"/>
      <c r="G68" s="120" t="s">
        <v>50</v>
      </c>
      <c r="H68" s="121" t="s">
        <v>50</v>
      </c>
      <c r="I68" s="122">
        <v>17793.103448275862</v>
      </c>
      <c r="J68" s="123">
        <f>I68*K$2</f>
        <v>5160000</v>
      </c>
      <c r="K68" s="3"/>
      <c r="L68" s="3"/>
      <c r="M68" s="11"/>
      <c r="N68" s="11"/>
      <c r="O68" s="3"/>
      <c r="P68" s="3"/>
    </row>
    <row r="69" spans="1:16" ht="16" thickBot="1" x14ac:dyDescent="0.25">
      <c r="A69" s="124"/>
      <c r="B69" s="125"/>
      <c r="C69" s="126"/>
      <c r="D69" s="126"/>
      <c r="E69" s="126"/>
      <c r="F69" s="127"/>
      <c r="G69" s="120" t="s">
        <v>49</v>
      </c>
      <c r="H69" s="121" t="s">
        <v>49</v>
      </c>
      <c r="I69" s="122">
        <v>23195.61379310345</v>
      </c>
      <c r="J69" s="123">
        <f>I69*K$2</f>
        <v>6726728.0000000009</v>
      </c>
      <c r="K69" s="3"/>
      <c r="L69" s="3"/>
      <c r="M69" s="18"/>
      <c r="N69" s="11"/>
      <c r="O69" s="16"/>
      <c r="P69" s="16"/>
    </row>
    <row r="70" spans="1:16" ht="16" thickBot="1" x14ac:dyDescent="0.25">
      <c r="A70" s="124"/>
      <c r="B70" s="125"/>
      <c r="C70" s="126"/>
      <c r="D70" s="126"/>
      <c r="E70" s="126"/>
      <c r="F70" s="127"/>
      <c r="G70" s="120" t="s">
        <v>51</v>
      </c>
      <c r="H70" s="121" t="s">
        <v>51</v>
      </c>
      <c r="I70" s="122">
        <v>16010.462068965517</v>
      </c>
      <c r="J70" s="123">
        <f>I70*K$2</f>
        <v>4643034</v>
      </c>
      <c r="K70" s="3"/>
      <c r="L70" s="3"/>
      <c r="M70" s="11"/>
      <c r="N70" s="11"/>
      <c r="O70" s="16"/>
      <c r="P70" s="16"/>
    </row>
    <row r="71" spans="1:16" ht="16" thickBot="1" x14ac:dyDescent="0.25">
      <c r="A71" s="124"/>
      <c r="B71" s="125"/>
      <c r="C71" s="126"/>
      <c r="D71" s="126"/>
      <c r="E71" s="126"/>
      <c r="F71" s="127"/>
      <c r="G71" s="120" t="s">
        <v>34</v>
      </c>
      <c r="H71" s="121" t="s">
        <v>44</v>
      </c>
      <c r="I71" s="122">
        <v>13099</v>
      </c>
      <c r="J71" s="123">
        <f>I71*K$2</f>
        <v>3798710</v>
      </c>
      <c r="K71" s="21"/>
      <c r="L71" s="3"/>
      <c r="M71" s="11"/>
      <c r="N71" s="11"/>
      <c r="O71" s="16"/>
      <c r="P71" s="16"/>
    </row>
    <row r="72" spans="1:16" ht="16" thickBot="1" x14ac:dyDescent="0.25">
      <c r="A72" s="128" t="s">
        <v>32</v>
      </c>
      <c r="B72" s="129"/>
      <c r="C72" s="130" t="e">
        <f t="shared" ref="C72:J72" si="1">SUM(C3:C71)</f>
        <v>#REF!</v>
      </c>
      <c r="D72" s="130">
        <f t="shared" si="1"/>
        <v>36920160</v>
      </c>
      <c r="E72" s="130" t="e">
        <f t="shared" si="1"/>
        <v>#REF!</v>
      </c>
      <c r="F72" s="131" t="e">
        <f t="shared" si="1"/>
        <v>#REF!</v>
      </c>
      <c r="G72" s="132">
        <f t="shared" si="1"/>
        <v>0</v>
      </c>
      <c r="H72" s="132">
        <f t="shared" si="1"/>
        <v>0</v>
      </c>
      <c r="I72" s="131">
        <f t="shared" si="1"/>
        <v>650328.85545778868</v>
      </c>
      <c r="J72" s="133">
        <f t="shared" si="1"/>
        <v>188595368.08275867</v>
      </c>
      <c r="K72" s="17"/>
      <c r="L72" s="17"/>
      <c r="M72" s="11"/>
      <c r="N72" s="11"/>
      <c r="O72" s="3"/>
      <c r="P72" s="3"/>
    </row>
    <row r="73" spans="1:16" x14ac:dyDescent="0.2">
      <c r="M73" s="12"/>
      <c r="N73" s="12"/>
      <c r="O73" s="12"/>
      <c r="P73" s="12"/>
    </row>
    <row r="74" spans="1:16" x14ac:dyDescent="0.2">
      <c r="I74" s="4"/>
      <c r="J74" s="4"/>
      <c r="M74" s="12"/>
    </row>
    <row r="75" spans="1:16" x14ac:dyDescent="0.2">
      <c r="A75" s="4"/>
      <c r="B75" s="4"/>
      <c r="C75" s="4"/>
      <c r="D75" s="4"/>
      <c r="E75" s="4"/>
      <c r="F75" s="20"/>
      <c r="G75" s="4"/>
      <c r="H75" s="4"/>
      <c r="I75" s="4"/>
      <c r="J75" s="4"/>
      <c r="M75" s="12"/>
    </row>
    <row r="76" spans="1:16" x14ac:dyDescent="0.2">
      <c r="A76" s="5"/>
      <c r="B76" s="5"/>
      <c r="C76" s="5"/>
      <c r="D76" s="4"/>
      <c r="E76" s="4"/>
      <c r="F76" s="4"/>
      <c r="G76" s="4"/>
      <c r="H76" s="4"/>
      <c r="I76" s="4"/>
      <c r="J76" s="4"/>
      <c r="M76" s="12"/>
    </row>
    <row r="77" spans="1:16" x14ac:dyDescent="0.2">
      <c r="A77" s="5"/>
      <c r="B77" s="5"/>
      <c r="C77" s="5"/>
      <c r="D77" s="4"/>
      <c r="E77" s="4"/>
      <c r="F77" s="4"/>
      <c r="G77" s="4"/>
      <c r="H77" s="4"/>
      <c r="I77" s="4"/>
      <c r="J77" s="4"/>
    </row>
    <row r="78" spans="1:16" x14ac:dyDescent="0.2">
      <c r="A78" s="5"/>
      <c r="B78" s="5"/>
      <c r="C78" s="5"/>
      <c r="D78" s="4"/>
      <c r="E78" s="4"/>
      <c r="F78" s="4"/>
      <c r="G78" s="4"/>
      <c r="H78" s="4"/>
      <c r="I78" s="4"/>
      <c r="J78" s="4"/>
    </row>
    <row r="79" spans="1:16" x14ac:dyDescent="0.2">
      <c r="A79" s="5"/>
      <c r="B79" s="5"/>
      <c r="C79" s="5"/>
      <c r="D79" s="4"/>
      <c r="E79" s="4"/>
      <c r="F79" s="4"/>
      <c r="G79" s="4"/>
      <c r="H79" s="21"/>
      <c r="I79" s="4"/>
      <c r="J79" s="4"/>
      <c r="K79" s="4"/>
      <c r="L79" s="4"/>
      <c r="M79" s="4"/>
      <c r="N79" s="4"/>
    </row>
    <row r="80" spans="1:16" x14ac:dyDescent="0.2">
      <c r="A80" s="5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2" x14ac:dyDescent="0.2">
      <c r="A81" s="5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">
      <c r="A82" s="5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">
      <c r="A83" s="5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">
      <c r="A84" s="5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">
      <c r="A85" s="5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">
      <c r="A86" s="4"/>
      <c r="B86" s="4"/>
      <c r="C86" s="4"/>
      <c r="D86" s="13"/>
      <c r="G86" s="19"/>
      <c r="H86" s="19"/>
      <c r="I86" s="4"/>
      <c r="J86" s="4"/>
      <c r="K86" s="4"/>
      <c r="L86" s="4"/>
    </row>
    <row r="87" spans="1:12" x14ac:dyDescent="0.2">
      <c r="A87" s="4"/>
      <c r="B87" s="4"/>
      <c r="C87" s="4"/>
      <c r="D87" s="13"/>
      <c r="E87" s="13"/>
      <c r="F87" s="13"/>
      <c r="G87" s="13"/>
      <c r="H87" s="13"/>
      <c r="I87" s="4"/>
      <c r="J87" s="4"/>
      <c r="K87" s="4"/>
      <c r="L87" s="4"/>
    </row>
    <row r="88" spans="1:12" x14ac:dyDescent="0.2">
      <c r="A88" s="4"/>
      <c r="B88" s="4"/>
      <c r="C88" s="4"/>
      <c r="D88" s="6"/>
      <c r="E88" s="7"/>
      <c r="F88" s="5"/>
      <c r="G88" s="5"/>
      <c r="H88" s="5"/>
      <c r="I88" s="4"/>
      <c r="J88" s="4"/>
      <c r="K88" s="4"/>
      <c r="L88" s="4"/>
    </row>
    <row r="89" spans="1:12" x14ac:dyDescent="0.2">
      <c r="A89" s="4"/>
      <c r="B89" s="4"/>
      <c r="C89" s="4"/>
      <c r="D89" s="6"/>
      <c r="E89" s="8"/>
      <c r="F89" s="5"/>
      <c r="G89" s="5"/>
      <c r="H89" s="5"/>
      <c r="I89" s="4"/>
      <c r="J89" s="4"/>
      <c r="K89" s="4"/>
      <c r="L89" s="4"/>
    </row>
    <row r="90" spans="1:12" x14ac:dyDescent="0.2">
      <c r="D90" s="6"/>
      <c r="E90" s="5"/>
      <c r="F90" s="5"/>
      <c r="G90" s="5"/>
      <c r="H90" s="5"/>
      <c r="I90" s="4"/>
      <c r="J90" s="4"/>
      <c r="K90" s="4"/>
      <c r="L90" s="4"/>
    </row>
    <row r="91" spans="1:12" x14ac:dyDescent="0.2">
      <c r="D91" s="6"/>
      <c r="E91" s="5"/>
      <c r="F91" s="5"/>
      <c r="G91" s="5"/>
      <c r="H91" s="5"/>
      <c r="I91" s="4"/>
      <c r="J91" s="4"/>
      <c r="K91" s="4"/>
      <c r="L91" s="4"/>
    </row>
    <row r="92" spans="1:12" x14ac:dyDescent="0.2">
      <c r="D92" s="6"/>
      <c r="E92" s="5"/>
      <c r="F92" s="5"/>
      <c r="G92" s="5"/>
      <c r="H92" s="5"/>
      <c r="I92" s="4"/>
      <c r="J92" s="4"/>
      <c r="K92" s="4"/>
      <c r="L92" s="4"/>
    </row>
    <row r="93" spans="1:12" x14ac:dyDescent="0.2">
      <c r="A93" s="5"/>
      <c r="B93" s="5"/>
      <c r="C93" s="5"/>
      <c r="D93" s="6"/>
      <c r="E93" s="5"/>
      <c r="F93" s="5"/>
      <c r="G93" s="5"/>
      <c r="H93" s="5"/>
      <c r="I93" s="4"/>
      <c r="J93" s="4"/>
      <c r="K93" s="4"/>
      <c r="L93" s="4"/>
    </row>
    <row r="94" spans="1:12" x14ac:dyDescent="0.2">
      <c r="A94" s="5"/>
      <c r="B94" s="5"/>
      <c r="C94" s="5"/>
      <c r="D94" s="5"/>
      <c r="E94" s="5"/>
      <c r="F94" s="5"/>
      <c r="G94" s="5"/>
      <c r="H94" s="5"/>
      <c r="I94" s="4"/>
      <c r="J94" s="4"/>
      <c r="K94" s="4"/>
      <c r="L94" s="4"/>
    </row>
    <row r="95" spans="1:12" x14ac:dyDescent="0.2">
      <c r="A95" s="5"/>
      <c r="B95" s="5"/>
      <c r="C95" s="5"/>
      <c r="D95" s="5"/>
      <c r="E95" s="9"/>
      <c r="F95" s="5"/>
      <c r="G95" s="5"/>
      <c r="H95" s="5"/>
      <c r="I95" s="4"/>
      <c r="J95" s="4"/>
      <c r="K95" s="4"/>
      <c r="L95" s="4"/>
    </row>
    <row r="96" spans="1:12" x14ac:dyDescent="0.2">
      <c r="A96" s="5"/>
      <c r="B96" s="5"/>
      <c r="C96" s="5"/>
      <c r="D96" s="5"/>
      <c r="E96" s="9"/>
      <c r="F96" s="5"/>
      <c r="G96" s="5"/>
      <c r="H96" s="5"/>
      <c r="I96" s="4"/>
      <c r="J96" s="4"/>
      <c r="K96" s="4"/>
      <c r="L96" s="4"/>
    </row>
    <row r="97" spans="1:9" x14ac:dyDescent="0.2">
      <c r="A97" s="5"/>
      <c r="B97" s="5"/>
      <c r="C97" s="5"/>
      <c r="D97" s="5"/>
      <c r="E97" s="7"/>
      <c r="F97" s="5"/>
      <c r="G97" s="5"/>
      <c r="H97" s="5"/>
      <c r="I97" s="4"/>
    </row>
    <row r="98" spans="1:9" x14ac:dyDescent="0.2">
      <c r="A98" s="5"/>
      <c r="B98" s="5"/>
      <c r="C98" s="5"/>
      <c r="D98" s="5"/>
      <c r="E98" s="7"/>
      <c r="F98" s="5"/>
      <c r="G98" s="5"/>
      <c r="H98" s="5"/>
      <c r="I98" s="4"/>
    </row>
    <row r="99" spans="1:9" x14ac:dyDescent="0.2">
      <c r="A99" s="5"/>
      <c r="B99" s="5"/>
      <c r="C99" s="5"/>
      <c r="D99" s="5"/>
      <c r="E99" s="7"/>
      <c r="F99" s="5"/>
      <c r="G99" s="5"/>
      <c r="H99" s="5"/>
      <c r="I99" s="4"/>
    </row>
    <row r="100" spans="1:9" x14ac:dyDescent="0.2">
      <c r="A100" s="5"/>
      <c r="B100" s="5"/>
      <c r="C100" s="5"/>
      <c r="D100" s="5"/>
      <c r="E100" s="7"/>
      <c r="F100" s="5"/>
      <c r="G100" s="5"/>
      <c r="H100" s="5"/>
      <c r="I100" s="4"/>
    </row>
    <row r="101" spans="1:9" x14ac:dyDescent="0.2">
      <c r="A101" s="5"/>
      <c r="B101" s="5"/>
      <c r="C101" s="5"/>
      <c r="D101" s="5"/>
      <c r="E101" s="5"/>
      <c r="F101" s="5"/>
      <c r="G101" s="5"/>
      <c r="H101" s="5"/>
      <c r="I101" s="4"/>
    </row>
    <row r="102" spans="1:9" x14ac:dyDescent="0.2">
      <c r="A102" s="5"/>
      <c r="B102" s="5"/>
      <c r="C102" s="5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Kapronczay Stefania</cp:lastModifiedBy>
  <dcterms:created xsi:type="dcterms:W3CDTF">2016-04-20T10:05:17Z</dcterms:created>
  <dcterms:modified xsi:type="dcterms:W3CDTF">2017-04-13T12:14:45Z</dcterms:modified>
</cp:coreProperties>
</file>